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580" windowHeight="4545" tabRatio="652" activeTab="4"/>
  </bookViews>
  <sheets>
    <sheet name="Норм. распред." sheetId="1" r:id="rId1"/>
    <sheet name="Коррел. отношения" sheetId="2" r:id="rId2"/>
    <sheet name="Таблицы" sheetId="3" r:id="rId3"/>
    <sheet name="Район 2" sheetId="4" r:id="rId4"/>
    <sheet name="Графики" sheetId="5" r:id="rId5"/>
  </sheets>
  <definedNames>
    <definedName name="_xlnm._FilterDatabase" localSheetId="1" hidden="1">'Коррел. отношения'!$A$1:$N$117</definedName>
  </definedNames>
  <calcPr fullCalcOnLoad="1"/>
</workbook>
</file>

<file path=xl/sharedStrings.xml><?xml version="1.0" encoding="utf-8"?>
<sst xmlns="http://schemas.openxmlformats.org/spreadsheetml/2006/main" count="1877" uniqueCount="161">
  <si>
    <t>Пол</t>
  </si>
  <si>
    <t>Возраст</t>
  </si>
  <si>
    <t>Род занятий</t>
  </si>
  <si>
    <t>Образование</t>
  </si>
  <si>
    <t>Доход</t>
  </si>
  <si>
    <t>Доля питания</t>
  </si>
  <si>
    <t>Доля ЖКХ</t>
  </si>
  <si>
    <t>Потребление йогуртов</t>
  </si>
  <si>
    <t>м</t>
  </si>
  <si>
    <t>ж</t>
  </si>
  <si>
    <t>Служащий</t>
  </si>
  <si>
    <t>Предприниматель</t>
  </si>
  <si>
    <t>№</t>
  </si>
  <si>
    <t>Рабочий</t>
  </si>
  <si>
    <t>Студент</t>
  </si>
  <si>
    <t>Учащийся</t>
  </si>
  <si>
    <t>Сред. спец.</t>
  </si>
  <si>
    <t>Высшее</t>
  </si>
  <si>
    <t>Н/высшее</t>
  </si>
  <si>
    <t>Среднее</t>
  </si>
  <si>
    <t>Нет</t>
  </si>
  <si>
    <t>.800</t>
  </si>
  <si>
    <t>Xi-X~</t>
  </si>
  <si>
    <t>(Xi-X~)^2</t>
  </si>
  <si>
    <t>t</t>
  </si>
  <si>
    <t>F(t)</t>
  </si>
  <si>
    <t>x</t>
  </si>
  <si>
    <t>Дисперсия</t>
  </si>
  <si>
    <t>СКО</t>
  </si>
  <si>
    <t>Среднее арифм.</t>
  </si>
  <si>
    <t>min</t>
  </si>
  <si>
    <t>max</t>
  </si>
  <si>
    <t>R</t>
  </si>
  <si>
    <t>ср. потребл.</t>
  </si>
  <si>
    <t>Итого</t>
  </si>
  <si>
    <t>А</t>
  </si>
  <si>
    <t>Группы  потребителей по полу</t>
  </si>
  <si>
    <t>более 800</t>
  </si>
  <si>
    <t>Распределение потребителей по полу и потреблению йогуртов</t>
  </si>
  <si>
    <t>Группы потребителей по потреблению йогуртов, г/мес</t>
  </si>
  <si>
    <t>Таблица 1</t>
  </si>
  <si>
    <t>Таблица 2</t>
  </si>
  <si>
    <t>Распределение потребителей по возрасту и потреблению йогуртов</t>
  </si>
  <si>
    <t>Группы  потребителей по возрасту, лет</t>
  </si>
  <si>
    <t>-</t>
  </si>
  <si>
    <t>Таблица 3</t>
  </si>
  <si>
    <t>Распределение потребителей по роду занятий и потреблению йогуртов</t>
  </si>
  <si>
    <t>Группы  потребителей по роду занятий</t>
  </si>
  <si>
    <t>Таблица 4</t>
  </si>
  <si>
    <t>Распределение потребителей по образованию и потреблению йогуртов</t>
  </si>
  <si>
    <t>Группы  потребителей по образованию</t>
  </si>
  <si>
    <t>Средн. спец</t>
  </si>
  <si>
    <t>Таблица 5</t>
  </si>
  <si>
    <t>Распределение потребителей по доходу и потреблению йогуртов</t>
  </si>
  <si>
    <t>Группы  потребителей по доходу, руб</t>
  </si>
  <si>
    <t>Таблица 6</t>
  </si>
  <si>
    <t>Распределение потребителей по доле питания и потреблению йогуртов</t>
  </si>
  <si>
    <t>Группы  потребителей по доле питания, %</t>
  </si>
  <si>
    <t>42-44</t>
  </si>
  <si>
    <t>менее 42</t>
  </si>
  <si>
    <t>44-46</t>
  </si>
  <si>
    <t>46-48</t>
  </si>
  <si>
    <t>48-50</t>
  </si>
  <si>
    <t>50-52</t>
  </si>
  <si>
    <t>52-54</t>
  </si>
  <si>
    <t>более54</t>
  </si>
  <si>
    <t>Таблица 7</t>
  </si>
  <si>
    <t>Распределение потребителей по доле ЖКХ и потреблению йогуртов</t>
  </si>
  <si>
    <t>Группы  потребителей по доле ЖКХ, %</t>
  </si>
  <si>
    <t>Менее 20</t>
  </si>
  <si>
    <t>(Yi`-Yo`)^2*fi</t>
  </si>
  <si>
    <t>Меж/гр.</t>
  </si>
  <si>
    <t>сумма</t>
  </si>
  <si>
    <t>Эта</t>
  </si>
  <si>
    <t>&lt;20</t>
  </si>
  <si>
    <t>&lt;42</t>
  </si>
  <si>
    <t>&gt;54</t>
  </si>
  <si>
    <t>фи</t>
  </si>
  <si>
    <t>С</t>
  </si>
  <si>
    <t>Кч</t>
  </si>
  <si>
    <t>Сред.спец.</t>
  </si>
  <si>
    <t>Остаток</t>
  </si>
  <si>
    <t>31-34,25</t>
  </si>
  <si>
    <t>34,25-37,5</t>
  </si>
  <si>
    <t>37,5-40,75</t>
  </si>
  <si>
    <t>40,75-44</t>
  </si>
  <si>
    <t>44-47,25</t>
  </si>
  <si>
    <t>47,25-50,5</t>
  </si>
  <si>
    <t>50,5-53,75</t>
  </si>
  <si>
    <t>53,75-57</t>
  </si>
  <si>
    <t>средн.</t>
  </si>
  <si>
    <t>Фактическое распределение</t>
  </si>
  <si>
    <t>Теоретическое распределение</t>
  </si>
  <si>
    <t>Ср. спец</t>
  </si>
  <si>
    <t>Таблица 8</t>
  </si>
  <si>
    <t>Распределение потребителей по роду занятий и образованию</t>
  </si>
  <si>
    <t>Группы потребителей по образованию</t>
  </si>
  <si>
    <t>Ср.спец.</t>
  </si>
  <si>
    <t>&lt;1000</t>
  </si>
  <si>
    <t>1000-2000</t>
  </si>
  <si>
    <t>2000-3000</t>
  </si>
  <si>
    <t>3000-4000</t>
  </si>
  <si>
    <t>4000-5000</t>
  </si>
  <si>
    <t>&gt;5000</t>
  </si>
  <si>
    <t>Менее 1000</t>
  </si>
  <si>
    <t>Более 5000</t>
  </si>
  <si>
    <t>20-30</t>
  </si>
  <si>
    <t>30-40</t>
  </si>
  <si>
    <t>40-50</t>
  </si>
  <si>
    <t>50-60</t>
  </si>
  <si>
    <t>&gt;60</t>
  </si>
  <si>
    <t>5-10</t>
  </si>
  <si>
    <t>10-15</t>
  </si>
  <si>
    <t>15-20</t>
  </si>
  <si>
    <t>20-25</t>
  </si>
  <si>
    <t>1-5</t>
  </si>
  <si>
    <t>менее 5</t>
  </si>
  <si>
    <t>Более 60</t>
  </si>
  <si>
    <t>Среднее потребл.</t>
  </si>
  <si>
    <t>Кол-во</t>
  </si>
  <si>
    <t>Ср. потребл.</t>
  </si>
  <si>
    <t>Средняя</t>
  </si>
  <si>
    <t>Sx</t>
  </si>
  <si>
    <t>272-942,5</t>
  </si>
  <si>
    <t>942,5-1613</t>
  </si>
  <si>
    <t>1613-2283,5</t>
  </si>
  <si>
    <t>2283,5-2954</t>
  </si>
  <si>
    <t>2954-3624,5</t>
  </si>
  <si>
    <t>3624,5-4295</t>
  </si>
  <si>
    <t>4295-4965,5</t>
  </si>
  <si>
    <t>4965,5-5636</t>
  </si>
  <si>
    <t>Теоретич.</t>
  </si>
  <si>
    <t>Ср.доход</t>
  </si>
  <si>
    <t>Ср.возраст</t>
  </si>
  <si>
    <t>Ср.питание</t>
  </si>
  <si>
    <t>Питание</t>
  </si>
  <si>
    <t>ЖКХ</t>
  </si>
  <si>
    <t>Дисп</t>
  </si>
  <si>
    <t>Ср.ЖКХ</t>
  </si>
  <si>
    <t>/\x</t>
  </si>
  <si>
    <t>Верхний предел</t>
  </si>
  <si>
    <t>Нижний предел</t>
  </si>
  <si>
    <t>Верхний`</t>
  </si>
  <si>
    <t>Нижний`</t>
  </si>
  <si>
    <t>Емкость</t>
  </si>
  <si>
    <t>Sx1</t>
  </si>
  <si>
    <t>X`-/\x&lt;M&lt;X`+/\x</t>
  </si>
  <si>
    <t>/\</t>
  </si>
  <si>
    <t>(X`-Xi)^2*Fi</t>
  </si>
  <si>
    <t>Сумма</t>
  </si>
  <si>
    <t>&lt;960</t>
  </si>
  <si>
    <t>960-1670</t>
  </si>
  <si>
    <t>1670-238</t>
  </si>
  <si>
    <t>2380-3090</t>
  </si>
  <si>
    <t>3090-3800</t>
  </si>
  <si>
    <t>3800-4510</t>
  </si>
  <si>
    <t>4510-5220</t>
  </si>
  <si>
    <t>&gt;5220</t>
  </si>
  <si>
    <t>(Xi-X~)^3</t>
  </si>
  <si>
    <t>(Xi-X~)^4</t>
  </si>
  <si>
    <t>As</t>
  </si>
</sst>
</file>

<file path=xl/styles.xml><?xml version="1.0" encoding="utf-8"?>
<styleSheet xmlns="http://schemas.openxmlformats.org/spreadsheetml/2006/main">
  <numFmts count="7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E+00;\ĝ"/>
    <numFmt numFmtId="180" formatCode="0.000000E+00;\ᯌ"/>
    <numFmt numFmtId="181" formatCode="0.0000000E+00;\ᯌ"/>
    <numFmt numFmtId="182" formatCode="0.00000000E+00;\ᯌ"/>
    <numFmt numFmtId="183" formatCode="0.000000000E+00;\ᯌ"/>
    <numFmt numFmtId="184" formatCode="0.0000000000E+00;\ᯌ"/>
    <numFmt numFmtId="185" formatCode="0.00000000000E+00;\ᯌ"/>
    <numFmt numFmtId="186" formatCode="0.000000000000E+00;\ᯌ"/>
    <numFmt numFmtId="187" formatCode="0.0000000000000E+00;\ᯌ"/>
    <numFmt numFmtId="188" formatCode="0.00000000000000E+00;\ᯌ"/>
    <numFmt numFmtId="189" formatCode="0.000000000000000E+00;\ᯌ"/>
    <numFmt numFmtId="190" formatCode="0.0000000000000000E+00;\ᯌ"/>
    <numFmt numFmtId="191" formatCode="0.00000000000000000E+00;\ᯌ"/>
    <numFmt numFmtId="192" formatCode="0.000000000000000000E+00;\ᯌ"/>
    <numFmt numFmtId="193" formatCode="0.0000000000000000000E+00;\ᯌ"/>
    <numFmt numFmtId="194" formatCode="0.00000000000000000000E+00;\ᯌ"/>
    <numFmt numFmtId="195" formatCode="0.000000000000000000000E+00;\ᯌ"/>
    <numFmt numFmtId="196" formatCode="0.0000000000000000000000E+00;\ᯌ"/>
    <numFmt numFmtId="197" formatCode="0.00000000000000000000000E+00;\ᯌ"/>
    <numFmt numFmtId="198" formatCode="0.000000000000000000000000E+00;\ᯌ"/>
    <numFmt numFmtId="199" formatCode="0.0000000000000000000000000E+00;\ᯌ"/>
    <numFmt numFmtId="200" formatCode="0.00000000000000000000000000E+00;\ᯌ"/>
    <numFmt numFmtId="201" formatCode="0.000000000000000000000000000E+00;\ᯌ"/>
    <numFmt numFmtId="202" formatCode="0.0000000000000000000000000000E+00;\ᯌ"/>
    <numFmt numFmtId="203" formatCode="0.00000000000000000000000000000E+00;\ᯌ"/>
    <numFmt numFmtId="204" formatCode="0.000000000000000000000000000000E+00;\ᯌ"/>
    <numFmt numFmtId="205" formatCode="0.0000000000000000000000000000000E+00;\ᯌ"/>
    <numFmt numFmtId="206" formatCode="0.00000000000000000000000000000000E+00;\ᯌ"/>
    <numFmt numFmtId="207" formatCode="0.000000000000000000000000000000000E+00;\ᯌ"/>
    <numFmt numFmtId="208" formatCode="0.0000000000000000000000000000000000E+00;\ᯌ"/>
    <numFmt numFmtId="209" formatCode="0.00000000000000000000000000000000000E+00;\ᯌ"/>
    <numFmt numFmtId="210" formatCode="0.000000000000000000000000000000000000E+00;\ᯌ"/>
    <numFmt numFmtId="211" formatCode="0.0000000000000000000000000000000000000E+00;\ᯌ"/>
    <numFmt numFmtId="212" formatCode="0.00000000000000000000000000000000000000E+00;\ᯌ"/>
    <numFmt numFmtId="213" formatCode="0.000000000000000000000000000000000000000E+00;\ᯌ"/>
    <numFmt numFmtId="214" formatCode="0.0000000000000000000000000000000000000000E+00;\ᯌ"/>
    <numFmt numFmtId="215" formatCode="0.00000000000000000000000000000000000000000E+00;\ᯌ"/>
    <numFmt numFmtId="216" formatCode="0.000000000000000000000000000000000000000000E+00;\ᯌ"/>
    <numFmt numFmtId="217" formatCode="0.0000000000000000000000000000000000000000000E+00;\ᯌ"/>
    <numFmt numFmtId="218" formatCode="0.00000000000000000000000000000000000000000000E+00;\ᯌ"/>
    <numFmt numFmtId="219" formatCode="0.000000000000000000000000000000000000000000000E+00;\ᯌ"/>
    <numFmt numFmtId="220" formatCode="0.0000000000000000000000000000000000000000000000E+00;\ᯌ"/>
    <numFmt numFmtId="221" formatCode="0.00000000000000000000000000000000000000000000000E+00;\ᯌ"/>
    <numFmt numFmtId="222" formatCode="0.000000000000000000000000000000000000000000000000E+00;\ᯌ"/>
    <numFmt numFmtId="223" formatCode="0.0000000000000000000000000000000000000000000000000E+00;\ᯌ"/>
    <numFmt numFmtId="224" formatCode="0.00000000000000000000000000000000000000000000000000E+00;\ᯌ"/>
    <numFmt numFmtId="225" formatCode="0.000000000000000000000000000000000000000000000000000E+00;\ᯌ"/>
    <numFmt numFmtId="226" formatCode="0.0000000000000000000000000000000000000000000000000000E+00;\ᯌ"/>
    <numFmt numFmtId="227" formatCode="0.00000000000000000000000000000000000000000000000000000E+00;\ᯌ"/>
    <numFmt numFmtId="228" formatCode="0.000000000000000000000000000000000000000000000000000000E+00;\ᯌ"/>
    <numFmt numFmtId="229" formatCode="0.0%"/>
  </numFmts>
  <fonts count="11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.25"/>
      <name val="Arial Cyr"/>
      <family val="0"/>
    </font>
    <font>
      <b/>
      <sz val="8"/>
      <name val="Arial Cyr"/>
      <family val="0"/>
    </font>
    <font>
      <sz val="16"/>
      <name val="Arial Cyr"/>
      <family val="2"/>
    </font>
    <font>
      <sz val="15.25"/>
      <name val="Arial Cyr"/>
      <family val="2"/>
    </font>
    <font>
      <sz val="18"/>
      <name val="Arial"/>
      <family val="2"/>
    </font>
    <font>
      <i/>
      <sz val="16"/>
      <name val="Arial Cyr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NumberFormat="1" applyFont="1" applyAlignment="1">
      <alignment horizontal="center" vertical="center" wrapText="1"/>
    </xf>
    <xf numFmtId="164" fontId="0" fillId="0" borderId="8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229" fontId="0" fillId="0" borderId="0" xfId="17" applyNumberFormat="1" applyFont="1" applyAlignment="1">
      <alignment horizontal="center"/>
    </xf>
    <xf numFmtId="0" fontId="2" fillId="0" borderId="11" xfId="0" applyFont="1" applyBorder="1" applyAlignment="1">
      <alignment horizontal="center" vertical="center" textRotation="45" wrapText="1"/>
    </xf>
    <xf numFmtId="0" fontId="2" fillId="0" borderId="8" xfId="0" applyFont="1" applyBorder="1" applyAlignment="1">
      <alignment horizontal="center" vertical="center" textRotation="45" wrapText="1"/>
    </xf>
    <xf numFmtId="0" fontId="2" fillId="0" borderId="7" xfId="0" applyFont="1" applyBorder="1" applyAlignment="1">
      <alignment horizontal="center" vertical="center" textRotation="45" wrapText="1"/>
    </xf>
    <xf numFmtId="0" fontId="2" fillId="0" borderId="11" xfId="0" applyFont="1" applyBorder="1" applyAlignment="1">
      <alignment horizontal="center" vertical="center" textRotation="45"/>
    </xf>
    <xf numFmtId="0" fontId="2" fillId="0" borderId="8" xfId="0" applyFont="1" applyBorder="1" applyAlignment="1">
      <alignment horizontal="center" vertical="center" textRotation="45"/>
    </xf>
    <xf numFmtId="0" fontId="2" fillId="0" borderId="12" xfId="0" applyFont="1" applyBorder="1" applyAlignment="1">
      <alignment horizontal="center" vertical="center" textRotation="45"/>
    </xf>
    <xf numFmtId="0" fontId="2" fillId="0" borderId="0" xfId="0" applyFont="1" applyBorder="1" applyAlignment="1">
      <alignment horizontal="center" vertical="center" textRotation="45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Фактический и теоретический ряды распределения показателя 
"среднемесячный доход потребителя"
 в районе № 40</a:t>
            </a:r>
          </a:p>
        </c:rich>
      </c:tx>
      <c:layout>
        <c:manualLayout>
          <c:xMode val="factor"/>
          <c:yMode val="factor"/>
          <c:x val="0.02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75"/>
          <c:w val="0.80725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'Норм. распред.'!$N$15</c:f>
              <c:strCache>
                <c:ptCount val="1"/>
                <c:pt idx="0">
                  <c:v>Фактическое распределение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'Норм. распред.'!$M$16:$M$21</c:f>
              <c:numCache/>
            </c:numRef>
          </c:cat>
          <c:val>
            <c:numRef>
              <c:f>'Норм. распред.'!$N$16:$N$21</c:f>
              <c:numCache/>
            </c:numRef>
          </c:val>
          <c:smooth val="0"/>
        </c:ser>
        <c:ser>
          <c:idx val="1"/>
          <c:order val="1"/>
          <c:tx>
            <c:strRef>
              <c:f>'Норм. распред.'!$S$15</c:f>
              <c:strCache>
                <c:ptCount val="1"/>
                <c:pt idx="0">
                  <c:v>Теоретическое распределение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'Норм. распред.'!$M$16:$M$21</c:f>
              <c:numCache/>
            </c:numRef>
          </c:cat>
          <c:val>
            <c:numRef>
              <c:f>'Норм. распред.'!$S$16:$S$21</c:f>
              <c:numCache/>
            </c:numRef>
          </c:val>
          <c:smooth val="0"/>
        </c:ser>
        <c:axId val="31608465"/>
        <c:axId val="16040730"/>
      </c:lineChart>
      <c:catAx>
        <c:axId val="3160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1" u="none" baseline="0">
                    <a:latin typeface="Arial Cyr"/>
                    <a:ea typeface="Arial Cyr"/>
                    <a:cs typeface="Arial Cyr"/>
                  </a:rPr>
                  <a:t>Доход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040730"/>
        <c:crosses val="autoZero"/>
        <c:auto val="1"/>
        <c:lblOffset val="100"/>
        <c:noMultiLvlLbl val="0"/>
      </c:catAx>
      <c:valAx>
        <c:axId val="16040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1" u="none" baseline="0">
                    <a:latin typeface="Arial Cyr"/>
                    <a:ea typeface="Arial Cyr"/>
                    <a:cs typeface="Arial Cyr"/>
                  </a:rPr>
                  <a:t>Частота</a:t>
                </a:r>
              </a:p>
            </c:rich>
          </c:tx>
          <c:layout>
            <c:manualLayout>
              <c:xMode val="factor"/>
              <c:yMode val="factor"/>
              <c:x val="-0.002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608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75"/>
          <c:w val="0.80825"/>
          <c:h val="0.0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Зависимость потебления
йогурта от возраста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248"/>
          <c:w val="0.91975"/>
          <c:h val="0.7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Графики!$C$2:$C$111</c:f>
              <c:numCache/>
            </c:numRef>
          </c:xVal>
          <c:yVal>
            <c:numRef>
              <c:f>Графики!$I$2:$I$111</c:f>
              <c:numCache/>
            </c:numRef>
          </c:yVal>
          <c:smooth val="0"/>
        </c:ser>
        <c:axId val="10148843"/>
        <c:axId val="24230724"/>
      </c:scatterChart>
      <c:valAx>
        <c:axId val="1014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2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30724"/>
        <c:crosses val="autoZero"/>
        <c:crossBetween val="midCat"/>
        <c:dispUnits/>
      </c:valAx>
      <c:valAx>
        <c:axId val="24230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525"/>
              <c:y val="0.17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48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Зависимость потребления
йогурта от дохода</a:t>
            </a:r>
          </a:p>
        </c:rich>
      </c:tx>
      <c:layout>
        <c:manualLayout>
          <c:xMode val="factor"/>
          <c:yMode val="factor"/>
          <c:x val="0.010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2125"/>
          <c:w val="0.93"/>
          <c:h val="0.7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Графики!$F$2:$F$111</c:f>
              <c:numCache/>
            </c:numRef>
          </c:xVal>
          <c:yVal>
            <c:numRef>
              <c:f>Графики!$I$2:$I$111</c:f>
              <c:numCache/>
            </c:numRef>
          </c:yVal>
          <c:smooth val="0"/>
        </c:ser>
        <c:axId val="16749925"/>
        <c:axId val="16531598"/>
      </c:scatterChart>
      <c:valAx>
        <c:axId val="16749925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2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31598"/>
        <c:crosses val="autoZero"/>
        <c:crossBetween val="midCat"/>
        <c:dispUnits/>
      </c:valAx>
      <c:valAx>
        <c:axId val="165315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49925"/>
        <c:crosses val="autoZero"/>
        <c:crossBetween val="midCat"/>
        <c:dispUnits/>
        <c:majorUnit val="200"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Зависимость потребления
йогурта от доли питания</a:t>
            </a:r>
          </a:p>
        </c:rich>
      </c:tx>
      <c:layout>
        <c:manualLayout>
          <c:xMode val="factor"/>
          <c:yMode val="factor"/>
          <c:x val="0.0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7525"/>
          <c:w val="0.89525"/>
          <c:h val="0.70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Графики!$G$2:$G$111</c:f>
              <c:numCache/>
            </c:numRef>
          </c:xVal>
          <c:yVal>
            <c:numRef>
              <c:f>Графики!$I$2:$I$111</c:f>
              <c:numCache/>
            </c:numRef>
          </c:yVal>
          <c:smooth val="0"/>
        </c:ser>
        <c:axId val="14566655"/>
        <c:axId val="63991032"/>
      </c:scatterChart>
      <c:valAx>
        <c:axId val="14566655"/>
        <c:scaling>
          <c:orientation val="minMax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1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91032"/>
        <c:crosses val="autoZero"/>
        <c:crossBetween val="midCat"/>
        <c:dispUnits/>
      </c:valAx>
      <c:valAx>
        <c:axId val="639910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32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66655"/>
        <c:crossesAt val="3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Зависимость потребления
йогурта от доли ЖКХ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209"/>
          <c:w val="0.90925"/>
          <c:h val="0.7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Графики!$H$2:$H$111</c:f>
              <c:numCache/>
            </c:numRef>
          </c:xVal>
          <c:yVal>
            <c:numRef>
              <c:f>Графики!$I$2:$I$111</c:f>
              <c:numCache/>
            </c:numRef>
          </c:yVal>
          <c:smooth val="0"/>
        </c:ser>
        <c:axId val="39048377"/>
        <c:axId val="15891074"/>
      </c:scatterChart>
      <c:valAx>
        <c:axId val="3904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91074"/>
        <c:crosses val="autoZero"/>
        <c:crossBetween val="midCat"/>
        <c:dispUnits/>
      </c:valAx>
      <c:valAx>
        <c:axId val="158910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483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685800</xdr:colOff>
      <xdr:row>2</xdr:row>
      <xdr:rowOff>76200</xdr:rowOff>
    </xdr:from>
    <xdr:to>
      <xdr:col>32</xdr:col>
      <xdr:colOff>552450</xdr:colOff>
      <xdr:row>39</xdr:row>
      <xdr:rowOff>28575</xdr:rowOff>
    </xdr:to>
    <xdr:graphicFrame>
      <xdr:nvGraphicFramePr>
        <xdr:cNvPr id="1" name="Chart 3"/>
        <xdr:cNvGraphicFramePr/>
      </xdr:nvGraphicFramePr>
      <xdr:xfrm>
        <a:off x="18192750" y="723900"/>
        <a:ext cx="68199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0</xdr:row>
      <xdr:rowOff>85725</xdr:rowOff>
    </xdr:from>
    <xdr:to>
      <xdr:col>15</xdr:col>
      <xdr:colOff>400050</xdr:colOff>
      <xdr:row>15</xdr:row>
      <xdr:rowOff>85725</xdr:rowOff>
    </xdr:to>
    <xdr:graphicFrame>
      <xdr:nvGraphicFramePr>
        <xdr:cNvPr id="1" name="Chart 2"/>
        <xdr:cNvGraphicFramePr/>
      </xdr:nvGraphicFramePr>
      <xdr:xfrm>
        <a:off x="7505700" y="85725"/>
        <a:ext cx="38576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676275</xdr:colOff>
      <xdr:row>15</xdr:row>
      <xdr:rowOff>123825</xdr:rowOff>
    </xdr:from>
    <xdr:to>
      <xdr:col>15</xdr:col>
      <xdr:colOff>419100</xdr:colOff>
      <xdr:row>32</xdr:row>
      <xdr:rowOff>66675</xdr:rowOff>
    </xdr:to>
    <xdr:graphicFrame>
      <xdr:nvGraphicFramePr>
        <xdr:cNvPr id="2" name="Chart 3"/>
        <xdr:cNvGraphicFramePr/>
      </xdr:nvGraphicFramePr>
      <xdr:xfrm>
        <a:off x="7524750" y="2714625"/>
        <a:ext cx="38576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390525</xdr:colOff>
      <xdr:row>0</xdr:row>
      <xdr:rowOff>142875</xdr:rowOff>
    </xdr:from>
    <xdr:to>
      <xdr:col>21</xdr:col>
      <xdr:colOff>133350</xdr:colOff>
      <xdr:row>15</xdr:row>
      <xdr:rowOff>142875</xdr:rowOff>
    </xdr:to>
    <xdr:graphicFrame>
      <xdr:nvGraphicFramePr>
        <xdr:cNvPr id="3" name="Chart 4"/>
        <xdr:cNvGraphicFramePr/>
      </xdr:nvGraphicFramePr>
      <xdr:xfrm>
        <a:off x="11353800" y="142875"/>
        <a:ext cx="38576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438150</xdr:colOff>
      <xdr:row>15</xdr:row>
      <xdr:rowOff>104775</xdr:rowOff>
    </xdr:from>
    <xdr:to>
      <xdr:col>21</xdr:col>
      <xdr:colOff>57150</xdr:colOff>
      <xdr:row>32</xdr:row>
      <xdr:rowOff>66675</xdr:rowOff>
    </xdr:to>
    <xdr:graphicFrame>
      <xdr:nvGraphicFramePr>
        <xdr:cNvPr id="4" name="Chart 5"/>
        <xdr:cNvGraphicFramePr/>
      </xdr:nvGraphicFramePr>
      <xdr:xfrm>
        <a:off x="11401425" y="2695575"/>
        <a:ext cx="37338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zoomScale="75" zoomScaleNormal="75" workbookViewId="0" topLeftCell="D1">
      <selection activeCell="R22" sqref="R22"/>
    </sheetView>
  </sheetViews>
  <sheetFormatPr defaultColWidth="9.00390625" defaultRowHeight="12.75"/>
  <cols>
    <col min="1" max="1" width="3.875" style="1" customWidth="1"/>
    <col min="2" max="2" width="4.375" style="1" customWidth="1"/>
    <col min="3" max="3" width="4.75390625" style="1" customWidth="1"/>
    <col min="4" max="4" width="17.875" style="1" customWidth="1"/>
    <col min="5" max="5" width="12.875" style="1" customWidth="1"/>
    <col min="6" max="6" width="11.75390625" style="1" customWidth="1"/>
    <col min="7" max="7" width="9.875" style="1" customWidth="1"/>
    <col min="8" max="8" width="9.125" style="1" customWidth="1"/>
    <col min="9" max="9" width="10.875" style="1" customWidth="1"/>
    <col min="10" max="10" width="10.375" style="1" customWidth="1"/>
    <col min="11" max="11" width="12.125" style="1" customWidth="1"/>
    <col min="12" max="12" width="16.00390625" style="8" customWidth="1"/>
    <col min="13" max="13" width="10.625" style="1" customWidth="1"/>
    <col min="14" max="14" width="13.125" style="1" customWidth="1"/>
    <col min="15" max="15" width="9.125" style="1" customWidth="1"/>
    <col min="16" max="16" width="20.75390625" style="1" customWidth="1"/>
    <col min="17" max="18" width="9.125" style="1" customWidth="1"/>
    <col min="19" max="19" width="6.625" style="1" customWidth="1"/>
    <col min="20" max="16384" width="9.125" style="1" customWidth="1"/>
  </cols>
  <sheetData>
    <row r="1" spans="1:20" ht="38.25">
      <c r="A1" s="2" t="s">
        <v>12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7</v>
      </c>
      <c r="J1" s="5" t="s">
        <v>22</v>
      </c>
      <c r="K1" s="1" t="s">
        <v>23</v>
      </c>
      <c r="N1" s="1" t="s">
        <v>91</v>
      </c>
      <c r="P1" s="1" t="s">
        <v>23</v>
      </c>
      <c r="Q1" s="1" t="s">
        <v>24</v>
      </c>
      <c r="R1" s="1" t="s">
        <v>25</v>
      </c>
      <c r="S1" s="1" t="s">
        <v>92</v>
      </c>
      <c r="T1" s="1" t="s">
        <v>26</v>
      </c>
    </row>
    <row r="2" spans="1:20" ht="12.75">
      <c r="A2" s="1">
        <v>82</v>
      </c>
      <c r="B2" s="1" t="s">
        <v>8</v>
      </c>
      <c r="C2" s="1">
        <v>36</v>
      </c>
      <c r="D2" s="1" t="s">
        <v>13</v>
      </c>
      <c r="E2" s="1" t="s">
        <v>19</v>
      </c>
      <c r="F2" s="1">
        <v>261</v>
      </c>
      <c r="G2" s="1">
        <v>46</v>
      </c>
      <c r="H2" s="1">
        <v>23</v>
      </c>
      <c r="I2" s="1">
        <v>100</v>
      </c>
      <c r="J2" s="1">
        <f>F2-1901.8</f>
        <v>-1640.8</v>
      </c>
      <c r="K2" s="1">
        <f>J2^2</f>
        <v>2692224.6399999997</v>
      </c>
      <c r="L2" s="8" t="s">
        <v>150</v>
      </c>
      <c r="M2" s="1">
        <v>605</v>
      </c>
      <c r="N2" s="1">
        <v>26</v>
      </c>
      <c r="O2" s="1">
        <f aca="true" t="shared" si="0" ref="O2:O9">M2*N2</f>
        <v>15730</v>
      </c>
      <c r="P2" s="1">
        <f aca="true" t="shared" si="1" ref="P2:P9">((M2-$O$11)^2)*N2</f>
        <v>44637180.11570247</v>
      </c>
      <c r="Q2" s="1">
        <f aca="true" t="shared" si="2" ref="Q2:Q9">(M2-$O$11)/$N$12</f>
        <v>-1.0084536927755257</v>
      </c>
      <c r="R2" s="4">
        <f aca="true" t="shared" si="3" ref="R2:R9">(1/SQRT(6.28318530717958))*(1/(2.718281828^(Q2^2/2)))</f>
        <v>0.2399252269987513</v>
      </c>
      <c r="S2" s="7">
        <f aca="true" t="shared" si="4" ref="S2:S9">(110*710*R2)/$N$12</f>
        <v>14.421857743834748</v>
      </c>
      <c r="T2" s="1">
        <f aca="true" t="shared" si="5" ref="T2:T9">((N2-S2)^2)/S2</f>
        <v>9.295153265626015</v>
      </c>
    </row>
    <row r="3" spans="1:20" ht="12.75">
      <c r="A3" s="1">
        <v>55</v>
      </c>
      <c r="B3" s="1" t="s">
        <v>9</v>
      </c>
      <c r="C3" s="1">
        <v>31</v>
      </c>
      <c r="D3" s="1" t="s">
        <v>13</v>
      </c>
      <c r="E3" s="1" t="s">
        <v>18</v>
      </c>
      <c r="F3" s="1">
        <v>287</v>
      </c>
      <c r="G3" s="1">
        <v>42</v>
      </c>
      <c r="H3" s="1">
        <v>20</v>
      </c>
      <c r="I3" s="1">
        <v>100</v>
      </c>
      <c r="J3" s="1">
        <f aca="true" t="shared" si="6" ref="J3:J66">F3-1901.8</f>
        <v>-1614.8</v>
      </c>
      <c r="K3" s="1">
        <f aca="true" t="shared" si="7" ref="K3:K66">J3^2</f>
        <v>2607579.04</v>
      </c>
      <c r="L3" s="8" t="s">
        <v>151</v>
      </c>
      <c r="M3" s="1">
        <v>1315</v>
      </c>
      <c r="N3" s="1">
        <v>34</v>
      </c>
      <c r="O3" s="1">
        <f t="shared" si="0"/>
        <v>44710</v>
      </c>
      <c r="P3" s="1">
        <f t="shared" si="1"/>
        <v>12251129.801652892</v>
      </c>
      <c r="Q3" s="1">
        <f t="shared" si="2"/>
        <v>-0.46200095284790094</v>
      </c>
      <c r="R3" s="4">
        <f t="shared" si="3"/>
        <v>0.35855938884456945</v>
      </c>
      <c r="S3" s="7">
        <f t="shared" si="4"/>
        <v>21.552933650697856</v>
      </c>
      <c r="T3" s="1">
        <f t="shared" si="5"/>
        <v>7.18832355793539</v>
      </c>
    </row>
    <row r="4" spans="1:20" ht="12.75">
      <c r="A4" s="1">
        <v>59</v>
      </c>
      <c r="B4" s="1" t="s">
        <v>8</v>
      </c>
      <c r="C4" s="1">
        <v>48</v>
      </c>
      <c r="D4" s="1" t="s">
        <v>13</v>
      </c>
      <c r="E4" s="1" t="s">
        <v>17</v>
      </c>
      <c r="F4" s="1">
        <v>354</v>
      </c>
      <c r="G4" s="1">
        <v>53</v>
      </c>
      <c r="H4" s="1">
        <v>12</v>
      </c>
      <c r="I4" s="1">
        <v>100</v>
      </c>
      <c r="J4" s="1">
        <f t="shared" si="6"/>
        <v>-1547.8</v>
      </c>
      <c r="K4" s="1">
        <f t="shared" si="7"/>
        <v>2395684.84</v>
      </c>
      <c r="L4" s="8" t="s">
        <v>152</v>
      </c>
      <c r="M4" s="1">
        <v>2025</v>
      </c>
      <c r="N4" s="1">
        <v>23</v>
      </c>
      <c r="O4" s="1">
        <f t="shared" si="0"/>
        <v>46575</v>
      </c>
      <c r="P4" s="1">
        <f t="shared" si="1"/>
        <v>276921.7107438017</v>
      </c>
      <c r="Q4" s="1">
        <f t="shared" si="2"/>
        <v>0.08445178707972385</v>
      </c>
      <c r="R4" s="4">
        <f t="shared" si="3"/>
        <v>0.3975221650244471</v>
      </c>
      <c r="S4" s="7">
        <f t="shared" si="4"/>
        <v>23.894978388552758</v>
      </c>
      <c r="T4" s="1">
        <f t="shared" si="5"/>
        <v>0.0335211148950114</v>
      </c>
    </row>
    <row r="5" spans="1:20" ht="12.75">
      <c r="A5" s="6">
        <v>91</v>
      </c>
      <c r="B5" s="6" t="s">
        <v>9</v>
      </c>
      <c r="C5" s="6">
        <v>43</v>
      </c>
      <c r="D5" s="6" t="s">
        <v>13</v>
      </c>
      <c r="E5" s="6" t="s">
        <v>16</v>
      </c>
      <c r="F5" s="6">
        <v>392</v>
      </c>
      <c r="G5" s="6">
        <v>44</v>
      </c>
      <c r="H5" s="6">
        <v>18</v>
      </c>
      <c r="I5" s="6">
        <v>100</v>
      </c>
      <c r="J5" s="1">
        <f t="shared" si="6"/>
        <v>-1509.8</v>
      </c>
      <c r="K5" s="1">
        <f t="shared" si="7"/>
        <v>2279496.04</v>
      </c>
      <c r="L5" s="8" t="s">
        <v>153</v>
      </c>
      <c r="M5" s="1">
        <v>2735</v>
      </c>
      <c r="N5" s="1">
        <v>9</v>
      </c>
      <c r="O5" s="1">
        <f t="shared" si="0"/>
        <v>24615</v>
      </c>
      <c r="P5" s="1">
        <f t="shared" si="1"/>
        <v>6047575.214876033</v>
      </c>
      <c r="Q5" s="1">
        <f t="shared" si="2"/>
        <v>0.6309045270073487</v>
      </c>
      <c r="R5" s="4">
        <f t="shared" si="3"/>
        <v>0.3269464789978303</v>
      </c>
      <c r="S5" s="7">
        <f t="shared" si="4"/>
        <v>19.65268791838594</v>
      </c>
      <c r="T5" s="1">
        <f t="shared" si="5"/>
        <v>5.774261533983886</v>
      </c>
    </row>
    <row r="6" spans="1:20" ht="12.75">
      <c r="A6" s="1">
        <v>74</v>
      </c>
      <c r="B6" s="1" t="s">
        <v>8</v>
      </c>
      <c r="C6" s="1">
        <v>29</v>
      </c>
      <c r="D6" s="1" t="s">
        <v>13</v>
      </c>
      <c r="E6" s="1" t="s">
        <v>16</v>
      </c>
      <c r="F6" s="1">
        <v>409</v>
      </c>
      <c r="G6" s="1">
        <v>51</v>
      </c>
      <c r="H6" s="1">
        <v>12</v>
      </c>
      <c r="I6" s="1">
        <v>200</v>
      </c>
      <c r="J6" s="1">
        <f t="shared" si="6"/>
        <v>-1492.8</v>
      </c>
      <c r="K6" s="1">
        <f t="shared" si="7"/>
        <v>2228451.84</v>
      </c>
      <c r="L6" s="8" t="s">
        <v>154</v>
      </c>
      <c r="M6" s="1">
        <v>3445</v>
      </c>
      <c r="N6" s="1">
        <v>6</v>
      </c>
      <c r="O6" s="1">
        <f t="shared" si="0"/>
        <v>20670</v>
      </c>
      <c r="P6" s="1">
        <f t="shared" si="1"/>
        <v>14040393.17355372</v>
      </c>
      <c r="Q6" s="1">
        <f t="shared" si="2"/>
        <v>1.1773572669349734</v>
      </c>
      <c r="R6" s="4">
        <f t="shared" si="3"/>
        <v>0.1994835304710283</v>
      </c>
      <c r="S6" s="7">
        <f t="shared" si="4"/>
        <v>11.990915397596217</v>
      </c>
      <c r="T6" s="1">
        <f t="shared" si="5"/>
        <v>2.993188268874819</v>
      </c>
    </row>
    <row r="7" spans="1:20" ht="12.75">
      <c r="A7" s="1">
        <v>76</v>
      </c>
      <c r="B7" s="1" t="s">
        <v>9</v>
      </c>
      <c r="C7" s="1">
        <v>40</v>
      </c>
      <c r="D7" s="1" t="s">
        <v>13</v>
      </c>
      <c r="E7" s="1" t="s">
        <v>18</v>
      </c>
      <c r="F7" s="1">
        <v>431</v>
      </c>
      <c r="G7" s="1">
        <v>40</v>
      </c>
      <c r="H7" s="1">
        <v>13</v>
      </c>
      <c r="I7" s="1">
        <v>200</v>
      </c>
      <c r="J7" s="1">
        <f t="shared" si="6"/>
        <v>-1470.8</v>
      </c>
      <c r="K7" s="1">
        <f t="shared" si="7"/>
        <v>2163252.6399999997</v>
      </c>
      <c r="L7" s="8" t="s">
        <v>155</v>
      </c>
      <c r="M7" s="1">
        <v>4155</v>
      </c>
      <c r="N7" s="1">
        <v>4</v>
      </c>
      <c r="O7" s="1">
        <f t="shared" si="0"/>
        <v>16620</v>
      </c>
      <c r="P7" s="1">
        <f t="shared" si="1"/>
        <v>20065513.024793394</v>
      </c>
      <c r="Q7" s="1">
        <f t="shared" si="2"/>
        <v>1.7238100068625983</v>
      </c>
      <c r="R7" s="4">
        <f t="shared" si="3"/>
        <v>0.09029266935759347</v>
      </c>
      <c r="S7" s="7">
        <f t="shared" si="4"/>
        <v>5.427474422241965</v>
      </c>
      <c r="T7" s="1">
        <f t="shared" si="5"/>
        <v>0.3754385682232864</v>
      </c>
    </row>
    <row r="8" spans="1:20" ht="12.75">
      <c r="A8" s="1">
        <v>27</v>
      </c>
      <c r="B8" s="1" t="s">
        <v>9</v>
      </c>
      <c r="C8" s="1">
        <v>28</v>
      </c>
      <c r="D8" s="1" t="s">
        <v>13</v>
      </c>
      <c r="E8" s="1" t="s">
        <v>19</v>
      </c>
      <c r="F8" s="1">
        <v>443</v>
      </c>
      <c r="G8" s="1">
        <v>54</v>
      </c>
      <c r="H8" s="1">
        <v>14</v>
      </c>
      <c r="I8" s="1">
        <v>400</v>
      </c>
      <c r="J8" s="1">
        <f t="shared" si="6"/>
        <v>-1458.8</v>
      </c>
      <c r="K8" s="1">
        <f t="shared" si="7"/>
        <v>2128097.44</v>
      </c>
      <c r="L8" s="8" t="s">
        <v>156</v>
      </c>
      <c r="M8" s="1">
        <v>4865</v>
      </c>
      <c r="N8" s="1">
        <v>4</v>
      </c>
      <c r="O8" s="1">
        <f t="shared" si="0"/>
        <v>19460</v>
      </c>
      <c r="P8" s="1">
        <f t="shared" si="1"/>
        <v>34803563.9338843</v>
      </c>
      <c r="Q8" s="1">
        <f t="shared" si="2"/>
        <v>2.270262746790223</v>
      </c>
      <c r="R8" s="4">
        <f t="shared" si="3"/>
        <v>0.0303188695613024</v>
      </c>
      <c r="S8" s="7">
        <f t="shared" si="4"/>
        <v>1.8224612277610155</v>
      </c>
      <c r="T8" s="1">
        <f t="shared" si="5"/>
        <v>2.6017975210531357</v>
      </c>
    </row>
    <row r="9" spans="1:20" ht="12.75">
      <c r="A9" s="1">
        <v>99</v>
      </c>
      <c r="B9" s="1" t="s">
        <v>8</v>
      </c>
      <c r="C9" s="1">
        <v>21</v>
      </c>
      <c r="D9" s="1" t="s">
        <v>14</v>
      </c>
      <c r="E9" s="1" t="s">
        <v>18</v>
      </c>
      <c r="F9" s="1">
        <v>482</v>
      </c>
      <c r="G9" s="1">
        <v>53</v>
      </c>
      <c r="H9" s="1">
        <v>10</v>
      </c>
      <c r="I9" s="1">
        <v>100</v>
      </c>
      <c r="J9" s="1">
        <f t="shared" si="6"/>
        <v>-1419.8</v>
      </c>
      <c r="K9" s="1">
        <f t="shared" si="7"/>
        <v>2015832.0399999998</v>
      </c>
      <c r="L9" s="8" t="s">
        <v>157</v>
      </c>
      <c r="M9" s="1">
        <v>5575</v>
      </c>
      <c r="N9" s="1">
        <v>4</v>
      </c>
      <c r="O9" s="1">
        <f t="shared" si="0"/>
        <v>22300</v>
      </c>
      <c r="P9" s="1">
        <f t="shared" si="1"/>
        <v>53574414.842975214</v>
      </c>
      <c r="Q9" s="1">
        <f t="shared" si="2"/>
        <v>2.816715486717848</v>
      </c>
      <c r="R9" s="4">
        <f t="shared" si="3"/>
        <v>0.007552462582066777</v>
      </c>
      <c r="S9" s="7">
        <f t="shared" si="4"/>
        <v>0.453977025828838</v>
      </c>
      <c r="T9" s="1">
        <f t="shared" si="5"/>
        <v>27.698051262379405</v>
      </c>
    </row>
    <row r="10" spans="1:20" ht="12.75">
      <c r="A10" s="1">
        <v>96</v>
      </c>
      <c r="B10" s="1" t="s">
        <v>8</v>
      </c>
      <c r="C10" s="1">
        <v>55</v>
      </c>
      <c r="D10" s="1" t="s">
        <v>13</v>
      </c>
      <c r="E10" s="1" t="s">
        <v>17</v>
      </c>
      <c r="F10" s="1">
        <v>503</v>
      </c>
      <c r="G10" s="1">
        <v>47</v>
      </c>
      <c r="H10" s="1">
        <v>14</v>
      </c>
      <c r="I10" s="1">
        <v>100</v>
      </c>
      <c r="J10" s="1">
        <f t="shared" si="6"/>
        <v>-1398.8</v>
      </c>
      <c r="K10" s="1">
        <f t="shared" si="7"/>
        <v>1956641.44</v>
      </c>
      <c r="N10" s="1">
        <f>SUM(N2:N9)</f>
        <v>110</v>
      </c>
      <c r="O10" s="1">
        <f>SUM(O2:O9)</f>
        <v>210680</v>
      </c>
      <c r="P10" s="1">
        <f>SUM(P2:P9)</f>
        <v>185696691.8181818</v>
      </c>
      <c r="R10" s="4"/>
      <c r="T10" s="1">
        <f>SUM(T2:T8)</f>
        <v>28.261683830591544</v>
      </c>
    </row>
    <row r="11" spans="1:18" ht="12.75">
      <c r="A11" s="2">
        <v>66</v>
      </c>
      <c r="B11" s="2" t="s">
        <v>9</v>
      </c>
      <c r="C11" s="2">
        <v>32</v>
      </c>
      <c r="D11" s="2" t="s">
        <v>10</v>
      </c>
      <c r="E11" s="2" t="s">
        <v>16</v>
      </c>
      <c r="F11" s="2">
        <v>516</v>
      </c>
      <c r="G11" s="2">
        <v>42</v>
      </c>
      <c r="H11" s="2">
        <v>8</v>
      </c>
      <c r="I11" s="2">
        <v>100</v>
      </c>
      <c r="J11" s="1">
        <f t="shared" si="6"/>
        <v>-1385.8</v>
      </c>
      <c r="K11" s="1">
        <f t="shared" si="7"/>
        <v>1920441.64</v>
      </c>
      <c r="N11" s="1" t="s">
        <v>90</v>
      </c>
      <c r="O11" s="1">
        <f>O10/110</f>
        <v>1915.2727272727273</v>
      </c>
      <c r="R11" s="4"/>
    </row>
    <row r="12" spans="1:18" ht="12.75">
      <c r="A12" s="6">
        <v>20</v>
      </c>
      <c r="B12" s="6" t="s">
        <v>9</v>
      </c>
      <c r="C12" s="6">
        <v>39</v>
      </c>
      <c r="D12" s="6" t="s">
        <v>13</v>
      </c>
      <c r="E12" s="6" t="s">
        <v>17</v>
      </c>
      <c r="F12" s="6">
        <v>531</v>
      </c>
      <c r="G12" s="6">
        <v>40</v>
      </c>
      <c r="H12" s="6">
        <v>9</v>
      </c>
      <c r="I12" s="6">
        <v>200</v>
      </c>
      <c r="J12" s="1">
        <f t="shared" si="6"/>
        <v>-1370.8</v>
      </c>
      <c r="K12" s="1">
        <f t="shared" si="7"/>
        <v>1879092.64</v>
      </c>
      <c r="M12" s="1" t="s">
        <v>28</v>
      </c>
      <c r="N12" s="1">
        <f>SQRT(P10/110)</f>
        <v>1299.2889377662125</v>
      </c>
      <c r="R12" s="4"/>
    </row>
    <row r="13" spans="1:18" ht="12.75">
      <c r="A13" s="1">
        <v>68</v>
      </c>
      <c r="B13" s="1" t="s">
        <v>8</v>
      </c>
      <c r="C13" s="1">
        <v>28</v>
      </c>
      <c r="D13" s="1" t="s">
        <v>13</v>
      </c>
      <c r="E13" s="1" t="s">
        <v>19</v>
      </c>
      <c r="F13" s="1">
        <v>568</v>
      </c>
      <c r="G13" s="1">
        <v>50</v>
      </c>
      <c r="H13" s="1">
        <v>10</v>
      </c>
      <c r="I13" s="1">
        <v>400</v>
      </c>
      <c r="J13" s="1">
        <f t="shared" si="6"/>
        <v>-1333.8</v>
      </c>
      <c r="K13" s="1">
        <f t="shared" si="7"/>
        <v>1779022.44</v>
      </c>
      <c r="R13" s="4"/>
    </row>
    <row r="14" spans="1:18" ht="12.75">
      <c r="A14" s="1">
        <v>46</v>
      </c>
      <c r="B14" s="1" t="s">
        <v>9</v>
      </c>
      <c r="C14" s="1">
        <v>36</v>
      </c>
      <c r="D14" s="1" t="s">
        <v>13</v>
      </c>
      <c r="E14" s="1" t="s">
        <v>16</v>
      </c>
      <c r="F14" s="1">
        <v>576</v>
      </c>
      <c r="G14" s="1">
        <v>52</v>
      </c>
      <c r="H14" s="1">
        <v>8</v>
      </c>
      <c r="I14" s="1">
        <v>400</v>
      </c>
      <c r="J14" s="1">
        <f t="shared" si="6"/>
        <v>-1325.8</v>
      </c>
      <c r="K14" s="1">
        <f t="shared" si="7"/>
        <v>1757745.64</v>
      </c>
      <c r="R14" s="4"/>
    </row>
    <row r="15" spans="1:20" ht="12.75">
      <c r="A15" s="1">
        <v>32</v>
      </c>
      <c r="B15" s="1" t="s">
        <v>9</v>
      </c>
      <c r="C15" s="1">
        <v>26</v>
      </c>
      <c r="D15" s="1" t="s">
        <v>13</v>
      </c>
      <c r="E15" s="1" t="s">
        <v>19</v>
      </c>
      <c r="F15" s="1">
        <v>579</v>
      </c>
      <c r="G15" s="1">
        <v>44</v>
      </c>
      <c r="H15" s="1">
        <v>8</v>
      </c>
      <c r="I15" s="1">
        <v>100</v>
      </c>
      <c r="J15" s="1">
        <f t="shared" si="6"/>
        <v>-1322.8</v>
      </c>
      <c r="K15" s="1">
        <f t="shared" si="7"/>
        <v>1749799.8399999999</v>
      </c>
      <c r="N15" s="1" t="s">
        <v>91</v>
      </c>
      <c r="P15" s="1" t="s">
        <v>23</v>
      </c>
      <c r="Q15" s="1" t="s">
        <v>24</v>
      </c>
      <c r="R15" s="1" t="s">
        <v>25</v>
      </c>
      <c r="S15" s="1" t="s">
        <v>92</v>
      </c>
      <c r="T15" s="1" t="s">
        <v>26</v>
      </c>
    </row>
    <row r="16" spans="1:20" ht="12.75">
      <c r="A16" s="6">
        <v>11</v>
      </c>
      <c r="B16" s="6" t="s">
        <v>8</v>
      </c>
      <c r="C16" s="6">
        <v>21</v>
      </c>
      <c r="D16" s="6" t="s">
        <v>14</v>
      </c>
      <c r="E16" s="6" t="s">
        <v>18</v>
      </c>
      <c r="F16" s="6">
        <v>581</v>
      </c>
      <c r="G16" s="6">
        <v>43</v>
      </c>
      <c r="H16" s="6">
        <v>13</v>
      </c>
      <c r="I16" s="6">
        <v>100</v>
      </c>
      <c r="J16" s="1">
        <f t="shared" si="6"/>
        <v>-1320.8</v>
      </c>
      <c r="K16" s="1">
        <f t="shared" si="7"/>
        <v>1744512.64</v>
      </c>
      <c r="L16" s="8" t="s">
        <v>150</v>
      </c>
      <c r="M16" s="1">
        <v>605</v>
      </c>
      <c r="N16" s="1">
        <v>26</v>
      </c>
      <c r="O16" s="1">
        <f aca="true" t="shared" si="8" ref="O16:O21">M16*N16</f>
        <v>15730</v>
      </c>
      <c r="P16" s="1">
        <f aca="true" t="shared" si="9" ref="P16:P21">((M16-$O$11)^2)*N16</f>
        <v>44637180.11570247</v>
      </c>
      <c r="Q16" s="1">
        <f aca="true" t="shared" si="10" ref="Q16:Q21">(M16-$O$11)/$N$12</f>
        <v>-1.0084536927755257</v>
      </c>
      <c r="R16" s="4">
        <f aca="true" t="shared" si="11" ref="R16:R21">(1/SQRT(6.28318530717958))*(1/(2.718281828^(Q16^2/2)))</f>
        <v>0.2399252269987513</v>
      </c>
      <c r="S16" s="7">
        <f>(110*710*R16)/$N$12</f>
        <v>14.421857743834748</v>
      </c>
      <c r="T16" s="1">
        <f aca="true" t="shared" si="12" ref="T16:T21">((N16-S16)^2)/S16</f>
        <v>9.295153265626015</v>
      </c>
    </row>
    <row r="17" spans="1:20" ht="12.75">
      <c r="A17" s="1">
        <v>35</v>
      </c>
      <c r="B17" s="1" t="s">
        <v>9</v>
      </c>
      <c r="C17" s="1">
        <v>30</v>
      </c>
      <c r="D17" s="1" t="s">
        <v>10</v>
      </c>
      <c r="E17" s="1" t="s">
        <v>17</v>
      </c>
      <c r="F17" s="1">
        <v>608</v>
      </c>
      <c r="G17" s="1">
        <v>45</v>
      </c>
      <c r="H17" s="1">
        <v>10</v>
      </c>
      <c r="I17" s="1">
        <v>400</v>
      </c>
      <c r="J17" s="1">
        <f t="shared" si="6"/>
        <v>-1293.8</v>
      </c>
      <c r="K17" s="1">
        <f t="shared" si="7"/>
        <v>1673918.44</v>
      </c>
      <c r="L17" s="8" t="s">
        <v>151</v>
      </c>
      <c r="M17" s="1">
        <v>1315</v>
      </c>
      <c r="N17" s="1">
        <v>34</v>
      </c>
      <c r="O17" s="1">
        <f t="shared" si="8"/>
        <v>44710</v>
      </c>
      <c r="P17" s="1">
        <f t="shared" si="9"/>
        <v>12251129.801652892</v>
      </c>
      <c r="Q17" s="1">
        <f t="shared" si="10"/>
        <v>-0.46200095284790094</v>
      </c>
      <c r="R17" s="4">
        <f t="shared" si="11"/>
        <v>0.35855938884456945</v>
      </c>
      <c r="S17" s="7">
        <f>(110*710*R17)/$N$12</f>
        <v>21.552933650697856</v>
      </c>
      <c r="T17" s="1">
        <f t="shared" si="12"/>
        <v>7.18832355793539</v>
      </c>
    </row>
    <row r="18" spans="1:20" ht="12.75">
      <c r="A18" s="1">
        <v>7</v>
      </c>
      <c r="B18" s="1" t="s">
        <v>8</v>
      </c>
      <c r="C18" s="1">
        <v>33</v>
      </c>
      <c r="D18" s="1" t="s">
        <v>10</v>
      </c>
      <c r="E18" s="1" t="s">
        <v>17</v>
      </c>
      <c r="F18" s="1">
        <v>612</v>
      </c>
      <c r="G18" s="1">
        <v>45</v>
      </c>
      <c r="H18" s="1">
        <v>10</v>
      </c>
      <c r="I18" s="1">
        <v>100</v>
      </c>
      <c r="J18" s="1">
        <f t="shared" si="6"/>
        <v>-1289.8</v>
      </c>
      <c r="K18" s="1">
        <f t="shared" si="7"/>
        <v>1663584.0399999998</v>
      </c>
      <c r="L18" s="8" t="s">
        <v>152</v>
      </c>
      <c r="M18" s="1">
        <v>2025</v>
      </c>
      <c r="N18" s="1">
        <v>23</v>
      </c>
      <c r="O18" s="1">
        <f t="shared" si="8"/>
        <v>46575</v>
      </c>
      <c r="P18" s="1">
        <f t="shared" si="9"/>
        <v>276921.7107438017</v>
      </c>
      <c r="Q18" s="1">
        <f t="shared" si="10"/>
        <v>0.08445178707972385</v>
      </c>
      <c r="R18" s="4">
        <f t="shared" si="11"/>
        <v>0.3975221650244471</v>
      </c>
      <c r="S18" s="7">
        <f>(110*710*R18)/$N$12</f>
        <v>23.894978388552758</v>
      </c>
      <c r="T18" s="1">
        <f t="shared" si="12"/>
        <v>0.0335211148950114</v>
      </c>
    </row>
    <row r="19" spans="1:20" ht="12.75">
      <c r="A19" s="1">
        <v>106</v>
      </c>
      <c r="B19" s="1" t="s">
        <v>8</v>
      </c>
      <c r="C19" s="1">
        <v>34</v>
      </c>
      <c r="D19" s="1" t="s">
        <v>10</v>
      </c>
      <c r="E19" s="1" t="s">
        <v>17</v>
      </c>
      <c r="F19" s="1">
        <v>637</v>
      </c>
      <c r="G19" s="1">
        <v>44</v>
      </c>
      <c r="H19" s="1">
        <v>10</v>
      </c>
      <c r="I19" s="1">
        <v>400</v>
      </c>
      <c r="J19" s="1">
        <f t="shared" si="6"/>
        <v>-1264.8</v>
      </c>
      <c r="K19" s="1">
        <f t="shared" si="7"/>
        <v>1599719.0399999998</v>
      </c>
      <c r="L19" s="8" t="s">
        <v>153</v>
      </c>
      <c r="M19" s="1">
        <v>2735</v>
      </c>
      <c r="N19" s="1">
        <v>9</v>
      </c>
      <c r="O19" s="1">
        <f t="shared" si="8"/>
        <v>24615</v>
      </c>
      <c r="P19" s="1">
        <f t="shared" si="9"/>
        <v>6047575.214876033</v>
      </c>
      <c r="Q19" s="1">
        <f t="shared" si="10"/>
        <v>0.6309045270073487</v>
      </c>
      <c r="R19" s="4">
        <f t="shared" si="11"/>
        <v>0.3269464789978303</v>
      </c>
      <c r="S19" s="7">
        <f>(110*710*R19)/$N$12</f>
        <v>19.65268791838594</v>
      </c>
      <c r="T19" s="1">
        <f t="shared" si="12"/>
        <v>5.774261533983886</v>
      </c>
    </row>
    <row r="20" spans="1:20" ht="12.75">
      <c r="A20" s="1">
        <v>29</v>
      </c>
      <c r="B20" s="1" t="s">
        <v>9</v>
      </c>
      <c r="C20" s="1">
        <v>17</v>
      </c>
      <c r="D20" s="1" t="s">
        <v>13</v>
      </c>
      <c r="E20" s="1" t="s">
        <v>17</v>
      </c>
      <c r="F20" s="1">
        <v>716</v>
      </c>
      <c r="G20" s="1">
        <v>52</v>
      </c>
      <c r="H20" s="1">
        <v>7</v>
      </c>
      <c r="I20" s="1">
        <v>400</v>
      </c>
      <c r="J20" s="1">
        <f t="shared" si="6"/>
        <v>-1185.8</v>
      </c>
      <c r="K20" s="1">
        <f t="shared" si="7"/>
        <v>1406121.64</v>
      </c>
      <c r="L20" s="8" t="s">
        <v>154</v>
      </c>
      <c r="M20" s="1">
        <v>3445</v>
      </c>
      <c r="N20" s="1">
        <v>6</v>
      </c>
      <c r="O20" s="1">
        <f t="shared" si="8"/>
        <v>20670</v>
      </c>
      <c r="P20" s="1">
        <f t="shared" si="9"/>
        <v>14040393.17355372</v>
      </c>
      <c r="Q20" s="1">
        <f t="shared" si="10"/>
        <v>1.1773572669349734</v>
      </c>
      <c r="R20" s="4">
        <f t="shared" si="11"/>
        <v>0.1994835304710283</v>
      </c>
      <c r="S20" s="7">
        <f>(110*710*R20)/$N$12</f>
        <v>11.990915397596217</v>
      </c>
      <c r="T20" s="1">
        <f t="shared" si="12"/>
        <v>2.993188268874819</v>
      </c>
    </row>
    <row r="21" spans="1:20" ht="12.75">
      <c r="A21" s="2">
        <v>26</v>
      </c>
      <c r="B21" s="2" t="s">
        <v>8</v>
      </c>
      <c r="C21" s="2">
        <v>34</v>
      </c>
      <c r="D21" s="2" t="s">
        <v>13</v>
      </c>
      <c r="E21" s="2" t="s">
        <v>18</v>
      </c>
      <c r="F21" s="2">
        <v>763</v>
      </c>
      <c r="G21" s="2">
        <v>51</v>
      </c>
      <c r="H21" s="2">
        <v>8</v>
      </c>
      <c r="I21" s="2">
        <v>100</v>
      </c>
      <c r="J21" s="1">
        <f t="shared" si="6"/>
        <v>-1138.8</v>
      </c>
      <c r="K21" s="1">
        <f t="shared" si="7"/>
        <v>1296865.44</v>
      </c>
      <c r="L21" s="8" t="s">
        <v>155</v>
      </c>
      <c r="M21" s="1">
        <v>4155</v>
      </c>
      <c r="N21" s="1">
        <v>12</v>
      </c>
      <c r="O21" s="1">
        <f t="shared" si="8"/>
        <v>49860</v>
      </c>
      <c r="P21" s="1">
        <f t="shared" si="9"/>
        <v>60196539.07438018</v>
      </c>
      <c r="Q21" s="1">
        <f t="shared" si="10"/>
        <v>1.7238100068625983</v>
      </c>
      <c r="R21" s="4">
        <f t="shared" si="11"/>
        <v>0.09029266935759347</v>
      </c>
      <c r="S21" s="7">
        <v>8</v>
      </c>
      <c r="T21" s="1">
        <f t="shared" si="12"/>
        <v>2</v>
      </c>
    </row>
    <row r="22" spans="1:20" ht="12.75">
      <c r="A22" s="1">
        <v>63</v>
      </c>
      <c r="B22" s="1" t="s">
        <v>8</v>
      </c>
      <c r="C22" s="1">
        <v>25</v>
      </c>
      <c r="D22" s="1" t="s">
        <v>14</v>
      </c>
      <c r="E22" s="1" t="s">
        <v>18</v>
      </c>
      <c r="F22" s="1">
        <v>802</v>
      </c>
      <c r="G22" s="1">
        <v>41</v>
      </c>
      <c r="H22" s="1">
        <v>8</v>
      </c>
      <c r="I22" s="1">
        <v>200</v>
      </c>
      <c r="J22" s="1">
        <f t="shared" si="6"/>
        <v>-1099.8</v>
      </c>
      <c r="K22" s="1">
        <f t="shared" si="7"/>
        <v>1209560.0399999998</v>
      </c>
      <c r="N22" s="1">
        <f>SUM(N16:N21)</f>
        <v>110</v>
      </c>
      <c r="O22" s="1">
        <f>SUM(O16:O21)</f>
        <v>202160</v>
      </c>
      <c r="P22" s="1">
        <f>SUM(P16:P21)</f>
        <v>137449739.0909091</v>
      </c>
      <c r="R22" s="4"/>
      <c r="T22" s="1">
        <f>SUM(T16:T21)</f>
        <v>27.28444774131512</v>
      </c>
    </row>
    <row r="23" spans="1:18" ht="12.75">
      <c r="A23" s="6">
        <v>71</v>
      </c>
      <c r="B23" s="6" t="s">
        <v>9</v>
      </c>
      <c r="C23" s="6">
        <v>20</v>
      </c>
      <c r="D23" s="6" t="s">
        <v>13</v>
      </c>
      <c r="E23" s="6" t="s">
        <v>17</v>
      </c>
      <c r="F23" s="6">
        <v>877</v>
      </c>
      <c r="G23" s="6">
        <v>50</v>
      </c>
      <c r="H23" s="6">
        <v>8</v>
      </c>
      <c r="I23" s="6">
        <v>200</v>
      </c>
      <c r="J23" s="1">
        <f t="shared" si="6"/>
        <v>-1024.8</v>
      </c>
      <c r="K23" s="1">
        <f t="shared" si="7"/>
        <v>1050215.0399999998</v>
      </c>
      <c r="N23" s="1" t="s">
        <v>90</v>
      </c>
      <c r="O23" s="1">
        <f>O22/110</f>
        <v>1837.8181818181818</v>
      </c>
      <c r="R23" s="4"/>
    </row>
    <row r="24" spans="1:18" ht="12.75">
      <c r="A24" s="1">
        <v>36</v>
      </c>
      <c r="B24" s="1" t="s">
        <v>8</v>
      </c>
      <c r="C24" s="1">
        <v>30</v>
      </c>
      <c r="D24" s="1" t="s">
        <v>10</v>
      </c>
      <c r="E24" s="1" t="s">
        <v>17</v>
      </c>
      <c r="F24" s="1">
        <v>894</v>
      </c>
      <c r="G24" s="1">
        <v>52</v>
      </c>
      <c r="H24" s="1">
        <v>7</v>
      </c>
      <c r="I24" s="1">
        <v>100</v>
      </c>
      <c r="J24" s="1">
        <f t="shared" si="6"/>
        <v>-1007.8</v>
      </c>
      <c r="K24" s="1">
        <f t="shared" si="7"/>
        <v>1015660.8399999999</v>
      </c>
      <c r="M24" s="1" t="s">
        <v>28</v>
      </c>
      <c r="N24" s="1">
        <f>SQRT(P$22/110)</f>
        <v>1117.8296304198723</v>
      </c>
      <c r="R24" s="4"/>
    </row>
    <row r="25" spans="1:11" ht="12.75">
      <c r="A25" s="1">
        <v>73</v>
      </c>
      <c r="B25" s="1" t="s">
        <v>8</v>
      </c>
      <c r="C25" s="1">
        <v>34</v>
      </c>
      <c r="D25" s="1" t="s">
        <v>10</v>
      </c>
      <c r="E25" s="1" t="s">
        <v>16</v>
      </c>
      <c r="F25" s="1">
        <v>895</v>
      </c>
      <c r="G25" s="1">
        <v>44</v>
      </c>
      <c r="H25" s="1">
        <v>7</v>
      </c>
      <c r="I25" s="1">
        <v>400</v>
      </c>
      <c r="J25" s="1">
        <f t="shared" si="6"/>
        <v>-1006.8</v>
      </c>
      <c r="K25" s="1">
        <f t="shared" si="7"/>
        <v>1013646.2399999999</v>
      </c>
    </row>
    <row r="26" spans="1:16" ht="12.75">
      <c r="A26" s="1">
        <v>88</v>
      </c>
      <c r="B26" s="1" t="s">
        <v>9</v>
      </c>
      <c r="C26" s="1">
        <v>38</v>
      </c>
      <c r="D26" s="1" t="s">
        <v>10</v>
      </c>
      <c r="E26" s="1" t="s">
        <v>17</v>
      </c>
      <c r="F26" s="1">
        <v>914</v>
      </c>
      <c r="G26" s="1">
        <v>45</v>
      </c>
      <c r="H26" s="1">
        <v>6</v>
      </c>
      <c r="I26" s="1">
        <v>400</v>
      </c>
      <c r="J26" s="1">
        <f t="shared" si="6"/>
        <v>-987.8</v>
      </c>
      <c r="K26" s="1">
        <f t="shared" si="7"/>
        <v>975748.84</v>
      </c>
      <c r="N26" s="1" t="s">
        <v>91</v>
      </c>
      <c r="P26" s="1" t="s">
        <v>158</v>
      </c>
    </row>
    <row r="27" spans="1:19" ht="12.75">
      <c r="A27" s="1">
        <v>24</v>
      </c>
      <c r="B27" s="1" t="s">
        <v>8</v>
      </c>
      <c r="C27" s="1">
        <v>32</v>
      </c>
      <c r="D27" s="1" t="s">
        <v>10</v>
      </c>
      <c r="E27" s="1" t="s">
        <v>17</v>
      </c>
      <c r="F27" s="1">
        <v>949</v>
      </c>
      <c r="G27" s="1">
        <v>53</v>
      </c>
      <c r="H27" s="1">
        <v>5</v>
      </c>
      <c r="I27" s="1">
        <v>400</v>
      </c>
      <c r="J27" s="1">
        <f t="shared" si="6"/>
        <v>-952.8</v>
      </c>
      <c r="K27" s="1">
        <f t="shared" si="7"/>
        <v>907827.84</v>
      </c>
      <c r="L27" s="8" t="s">
        <v>150</v>
      </c>
      <c r="M27" s="1">
        <v>605</v>
      </c>
      <c r="N27" s="1">
        <v>26</v>
      </c>
      <c r="O27" s="1">
        <f aca="true" t="shared" si="13" ref="O27:O34">M27*N27</f>
        <v>15730</v>
      </c>
      <c r="P27" s="7">
        <f>((M27-$O$11)^3)*N27</f>
        <v>-58486879727.96544</v>
      </c>
      <c r="R27" s="4"/>
      <c r="S27" s="7"/>
    </row>
    <row r="28" spans="1:19" ht="12.75">
      <c r="A28" s="1">
        <v>52</v>
      </c>
      <c r="B28" s="1" t="s">
        <v>8</v>
      </c>
      <c r="C28" s="1">
        <v>35</v>
      </c>
      <c r="D28" s="1" t="s">
        <v>13</v>
      </c>
      <c r="E28" s="1" t="s">
        <v>16</v>
      </c>
      <c r="F28" s="1">
        <v>971</v>
      </c>
      <c r="G28" s="1">
        <v>45</v>
      </c>
      <c r="H28" s="1">
        <v>7</v>
      </c>
      <c r="I28" s="1">
        <v>100</v>
      </c>
      <c r="J28" s="1">
        <f t="shared" si="6"/>
        <v>-930.8</v>
      </c>
      <c r="K28" s="1">
        <f t="shared" si="7"/>
        <v>866388.6399999999</v>
      </c>
      <c r="L28" s="8" t="s">
        <v>151</v>
      </c>
      <c r="M28" s="1">
        <v>1315</v>
      </c>
      <c r="N28" s="1">
        <v>34</v>
      </c>
      <c r="O28" s="1">
        <f t="shared" si="13"/>
        <v>44710</v>
      </c>
      <c r="P28" s="7">
        <f aca="true" t="shared" si="14" ref="P28:P34">((M28-$O$11)^3)*N28</f>
        <v>-7354019098.210367</v>
      </c>
      <c r="R28" s="4"/>
      <c r="S28" s="7"/>
    </row>
    <row r="29" spans="1:17" ht="12.75">
      <c r="A29" s="1">
        <v>87</v>
      </c>
      <c r="B29" s="1" t="s">
        <v>8</v>
      </c>
      <c r="C29" s="1">
        <v>30</v>
      </c>
      <c r="D29" s="1" t="s">
        <v>10</v>
      </c>
      <c r="E29" s="1" t="s">
        <v>16</v>
      </c>
      <c r="F29" s="1">
        <v>994</v>
      </c>
      <c r="G29" s="1">
        <v>50</v>
      </c>
      <c r="H29" s="1">
        <v>6</v>
      </c>
      <c r="I29" s="1">
        <v>100</v>
      </c>
      <c r="J29" s="1">
        <f t="shared" si="6"/>
        <v>-907.8</v>
      </c>
      <c r="K29" s="1">
        <f t="shared" si="7"/>
        <v>824100.84</v>
      </c>
      <c r="L29" s="8" t="s">
        <v>152</v>
      </c>
      <c r="M29" s="1">
        <v>2025</v>
      </c>
      <c r="N29" s="1">
        <v>23</v>
      </c>
      <c r="O29" s="1">
        <f t="shared" si="13"/>
        <v>46575</v>
      </c>
      <c r="P29" s="7">
        <f t="shared" si="14"/>
        <v>30385864.078888074</v>
      </c>
      <c r="Q29" s="8"/>
    </row>
    <row r="30" spans="1:17" ht="12.75">
      <c r="A30" s="6">
        <v>30</v>
      </c>
      <c r="B30" s="6" t="s">
        <v>9</v>
      </c>
      <c r="C30" s="6">
        <v>37</v>
      </c>
      <c r="D30" s="6" t="s">
        <v>13</v>
      </c>
      <c r="E30" s="6" t="s">
        <v>19</v>
      </c>
      <c r="F30" s="6">
        <v>996</v>
      </c>
      <c r="G30" s="6">
        <v>46</v>
      </c>
      <c r="H30" s="6">
        <v>5</v>
      </c>
      <c r="I30" s="6">
        <v>100</v>
      </c>
      <c r="J30" s="1">
        <f t="shared" si="6"/>
        <v>-905.8</v>
      </c>
      <c r="K30" s="1">
        <f t="shared" si="7"/>
        <v>820473.6399999999</v>
      </c>
      <c r="L30" s="8" t="s">
        <v>153</v>
      </c>
      <c r="M30" s="1">
        <v>2735</v>
      </c>
      <c r="N30" s="1">
        <v>9</v>
      </c>
      <c r="O30" s="1">
        <f t="shared" si="13"/>
        <v>24615</v>
      </c>
      <c r="P30" s="7">
        <f t="shared" si="14"/>
        <v>4957362337.503382</v>
      </c>
      <c r="Q30" s="8"/>
    </row>
    <row r="31" spans="1:17" ht="12.75">
      <c r="A31" s="2">
        <v>51</v>
      </c>
      <c r="B31" s="2" t="s">
        <v>9</v>
      </c>
      <c r="C31" s="2">
        <v>48</v>
      </c>
      <c r="D31" s="2" t="s">
        <v>10</v>
      </c>
      <c r="E31" s="2" t="s">
        <v>17</v>
      </c>
      <c r="F31" s="2">
        <v>1005</v>
      </c>
      <c r="G31" s="2">
        <v>43</v>
      </c>
      <c r="H31" s="2">
        <v>7</v>
      </c>
      <c r="I31" s="2">
        <v>800</v>
      </c>
      <c r="J31" s="1">
        <f t="shared" si="6"/>
        <v>-896.8</v>
      </c>
      <c r="K31" s="1">
        <f t="shared" si="7"/>
        <v>804250.2399999999</v>
      </c>
      <c r="L31" s="8" t="s">
        <v>154</v>
      </c>
      <c r="M31" s="1">
        <v>3445</v>
      </c>
      <c r="N31" s="1">
        <v>6</v>
      </c>
      <c r="O31" s="1">
        <f t="shared" si="13"/>
        <v>20670</v>
      </c>
      <c r="P31" s="7">
        <f t="shared" si="14"/>
        <v>21477972357.39895</v>
      </c>
      <c r="Q31" s="8"/>
    </row>
    <row r="32" spans="1:19" ht="12.75">
      <c r="A32" s="1">
        <v>107</v>
      </c>
      <c r="B32" s="1" t="s">
        <v>9</v>
      </c>
      <c r="C32" s="1">
        <v>23</v>
      </c>
      <c r="D32" s="1" t="s">
        <v>13</v>
      </c>
      <c r="E32" s="1" t="s">
        <v>16</v>
      </c>
      <c r="F32" s="1">
        <v>1015</v>
      </c>
      <c r="G32" s="1">
        <v>49</v>
      </c>
      <c r="H32" s="1">
        <v>6</v>
      </c>
      <c r="I32" s="1">
        <v>100</v>
      </c>
      <c r="J32" s="1">
        <f t="shared" si="6"/>
        <v>-886.8</v>
      </c>
      <c r="K32" s="1">
        <f t="shared" si="7"/>
        <v>786414.2399999999</v>
      </c>
      <c r="L32" s="8" t="s">
        <v>155</v>
      </c>
      <c r="M32" s="1">
        <v>4155</v>
      </c>
      <c r="N32" s="1">
        <v>4</v>
      </c>
      <c r="O32" s="1">
        <f t="shared" si="13"/>
        <v>16620</v>
      </c>
      <c r="P32" s="7">
        <f t="shared" si="14"/>
        <v>44941276762.89408</v>
      </c>
      <c r="R32" s="4"/>
      <c r="S32" s="7"/>
    </row>
    <row r="33" spans="1:18" ht="12.75">
      <c r="A33" s="1">
        <v>34</v>
      </c>
      <c r="B33" s="1" t="s">
        <v>9</v>
      </c>
      <c r="C33" s="1">
        <v>22</v>
      </c>
      <c r="D33" s="1" t="s">
        <v>13</v>
      </c>
      <c r="E33" s="1" t="s">
        <v>16</v>
      </c>
      <c r="F33" s="1">
        <v>1060</v>
      </c>
      <c r="G33" s="1">
        <v>47</v>
      </c>
      <c r="H33" s="1">
        <v>7</v>
      </c>
      <c r="I33" s="1">
        <v>1200</v>
      </c>
      <c r="J33" s="1">
        <f t="shared" si="6"/>
        <v>-841.8</v>
      </c>
      <c r="K33" s="1">
        <f t="shared" si="7"/>
        <v>708627.2399999999</v>
      </c>
      <c r="L33" s="8" t="s">
        <v>156</v>
      </c>
      <c r="M33" s="1">
        <v>4865</v>
      </c>
      <c r="N33" s="1">
        <v>4</v>
      </c>
      <c r="O33" s="1">
        <f t="shared" si="13"/>
        <v>19460</v>
      </c>
      <c r="P33" s="7">
        <f t="shared" si="14"/>
        <v>102661021723.88582</v>
      </c>
      <c r="R33" s="4"/>
    </row>
    <row r="34" spans="1:16" ht="12.75">
      <c r="A34" s="6">
        <v>60</v>
      </c>
      <c r="B34" s="6" t="s">
        <v>8</v>
      </c>
      <c r="C34" s="6">
        <v>31</v>
      </c>
      <c r="D34" s="6" t="s">
        <v>13</v>
      </c>
      <c r="E34" s="6" t="s">
        <v>19</v>
      </c>
      <c r="F34" s="6">
        <v>1079</v>
      </c>
      <c r="G34" s="6">
        <v>40</v>
      </c>
      <c r="H34" s="6">
        <v>5</v>
      </c>
      <c r="I34" s="6">
        <v>200</v>
      </c>
      <c r="J34" s="1">
        <f t="shared" si="6"/>
        <v>-822.8</v>
      </c>
      <c r="K34" s="1">
        <f t="shared" si="7"/>
        <v>676999.84</v>
      </c>
      <c r="L34" s="8" t="s">
        <v>157</v>
      </c>
      <c r="M34" s="1">
        <v>5575</v>
      </c>
      <c r="N34" s="1">
        <v>4</v>
      </c>
      <c r="O34" s="1">
        <f t="shared" si="13"/>
        <v>22300</v>
      </c>
      <c r="P34" s="7">
        <f t="shared" si="14"/>
        <v>196067747121.2412</v>
      </c>
    </row>
    <row r="35" spans="1:16" ht="12.75">
      <c r="A35" s="1">
        <v>57</v>
      </c>
      <c r="B35" s="1" t="s">
        <v>9</v>
      </c>
      <c r="C35" s="1">
        <v>25</v>
      </c>
      <c r="D35" s="1" t="s">
        <v>10</v>
      </c>
      <c r="E35" s="1" t="s">
        <v>16</v>
      </c>
      <c r="F35" s="1">
        <v>1082</v>
      </c>
      <c r="G35" s="1">
        <v>46</v>
      </c>
      <c r="H35" s="1">
        <v>6</v>
      </c>
      <c r="I35" s="1">
        <v>100</v>
      </c>
      <c r="J35" s="1">
        <f t="shared" si="6"/>
        <v>-819.8</v>
      </c>
      <c r="K35" s="1">
        <f t="shared" si="7"/>
        <v>672072.0399999999</v>
      </c>
      <c r="N35" s="1">
        <f>SUM(N27:N34)</f>
        <v>110</v>
      </c>
      <c r="O35" s="1">
        <f>SUM(O27:O34)</f>
        <v>210680</v>
      </c>
      <c r="P35" s="7">
        <f>SUM(P27:P34)</f>
        <v>304294867340.82654</v>
      </c>
    </row>
    <row r="36" spans="1:16" ht="12.75">
      <c r="A36" s="1">
        <v>17</v>
      </c>
      <c r="B36" s="1" t="s">
        <v>9</v>
      </c>
      <c r="C36" s="1">
        <v>22</v>
      </c>
      <c r="D36" s="1" t="s">
        <v>13</v>
      </c>
      <c r="E36" s="1" t="s">
        <v>19</v>
      </c>
      <c r="F36" s="1">
        <v>1089</v>
      </c>
      <c r="G36" s="1">
        <v>40</v>
      </c>
      <c r="H36" s="1">
        <v>6</v>
      </c>
      <c r="I36" s="1">
        <v>1200</v>
      </c>
      <c r="J36" s="1">
        <f t="shared" si="6"/>
        <v>-812.8</v>
      </c>
      <c r="K36" s="1">
        <f t="shared" si="7"/>
        <v>660643.84</v>
      </c>
      <c r="N36" s="1" t="s">
        <v>90</v>
      </c>
      <c r="O36" s="1">
        <f>O35/110</f>
        <v>1915.2727272727273</v>
      </c>
      <c r="P36" s="1">
        <f>P35/110</f>
        <v>2766316975.825696</v>
      </c>
    </row>
    <row r="37" spans="1:16" ht="12.75">
      <c r="A37" s="1">
        <v>18</v>
      </c>
      <c r="B37" s="1" t="s">
        <v>8</v>
      </c>
      <c r="C37" s="1">
        <v>39</v>
      </c>
      <c r="D37" s="1" t="s">
        <v>13</v>
      </c>
      <c r="E37" s="1" t="s">
        <v>16</v>
      </c>
      <c r="F37" s="1">
        <v>1117</v>
      </c>
      <c r="G37" s="1">
        <v>52</v>
      </c>
      <c r="H37" s="1">
        <v>4</v>
      </c>
      <c r="I37" s="1">
        <v>100</v>
      </c>
      <c r="J37" s="1">
        <f t="shared" si="6"/>
        <v>-784.8</v>
      </c>
      <c r="K37" s="1">
        <f t="shared" si="7"/>
        <v>615911.0399999999</v>
      </c>
      <c r="M37" s="1" t="s">
        <v>28</v>
      </c>
      <c r="N37" s="1">
        <f>SQRT(P$22/110)</f>
        <v>1117.8296304198723</v>
      </c>
      <c r="O37" s="1" t="s">
        <v>160</v>
      </c>
      <c r="P37" s="1">
        <f>P35/(N37)^3</f>
        <v>217.855121972067</v>
      </c>
    </row>
    <row r="38" spans="1:19" ht="12.75">
      <c r="A38" s="1">
        <v>37</v>
      </c>
      <c r="B38" s="1" t="s">
        <v>8</v>
      </c>
      <c r="C38" s="1">
        <v>28</v>
      </c>
      <c r="D38" s="1" t="s">
        <v>13</v>
      </c>
      <c r="E38" s="1" t="s">
        <v>18</v>
      </c>
      <c r="F38" s="1">
        <v>1186</v>
      </c>
      <c r="G38" s="1">
        <v>42</v>
      </c>
      <c r="H38" s="1">
        <v>5</v>
      </c>
      <c r="I38" s="1">
        <v>200</v>
      </c>
      <c r="J38" s="1">
        <f t="shared" si="6"/>
        <v>-715.8</v>
      </c>
      <c r="K38" s="1">
        <f t="shared" si="7"/>
        <v>512369.63999999996</v>
      </c>
      <c r="S38" s="7"/>
    </row>
    <row r="39" spans="1:19" ht="12.75">
      <c r="A39" s="1">
        <v>42</v>
      </c>
      <c r="B39" s="1" t="s">
        <v>8</v>
      </c>
      <c r="C39" s="1">
        <v>18</v>
      </c>
      <c r="D39" s="1" t="s">
        <v>13</v>
      </c>
      <c r="E39" s="1" t="s">
        <v>16</v>
      </c>
      <c r="F39" s="1">
        <v>1187</v>
      </c>
      <c r="G39" s="1">
        <v>46</v>
      </c>
      <c r="H39" s="1">
        <v>4</v>
      </c>
      <c r="I39" s="1">
        <v>100</v>
      </c>
      <c r="J39" s="1">
        <f t="shared" si="6"/>
        <v>-714.8</v>
      </c>
      <c r="K39" s="1">
        <f t="shared" si="7"/>
        <v>510939.0399999999</v>
      </c>
      <c r="N39" s="1" t="s">
        <v>91</v>
      </c>
      <c r="P39" s="1" t="s">
        <v>159</v>
      </c>
      <c r="S39" s="7"/>
    </row>
    <row r="40" spans="1:19" ht="12.75">
      <c r="A40" s="6">
        <v>80</v>
      </c>
      <c r="B40" s="6" t="s">
        <v>9</v>
      </c>
      <c r="C40" s="6">
        <v>25</v>
      </c>
      <c r="D40" s="6" t="s">
        <v>10</v>
      </c>
      <c r="E40" s="6" t="s">
        <v>17</v>
      </c>
      <c r="F40" s="6">
        <v>1217</v>
      </c>
      <c r="G40" s="6">
        <v>44</v>
      </c>
      <c r="H40" s="6">
        <v>4</v>
      </c>
      <c r="I40" s="6">
        <v>100</v>
      </c>
      <c r="J40" s="1">
        <f t="shared" si="6"/>
        <v>-684.8</v>
      </c>
      <c r="K40" s="1">
        <f t="shared" si="7"/>
        <v>468951.0399999999</v>
      </c>
      <c r="L40" s="8" t="s">
        <v>150</v>
      </c>
      <c r="M40" s="1">
        <v>605</v>
      </c>
      <c r="N40" s="1">
        <v>26</v>
      </c>
      <c r="O40" s="1">
        <f aca="true" t="shared" si="15" ref="O40:O47">M40*N40</f>
        <v>15730</v>
      </c>
      <c r="P40" s="7">
        <f>((M40-$O$11)^4)*N40</f>
        <v>76633763410833.25</v>
      </c>
      <c r="S40" s="7"/>
    </row>
    <row r="41" spans="1:19" ht="12.75">
      <c r="A41" s="2">
        <v>40</v>
      </c>
      <c r="B41" s="2" t="s">
        <v>9</v>
      </c>
      <c r="C41" s="2">
        <v>33</v>
      </c>
      <c r="D41" s="2" t="s">
        <v>10</v>
      </c>
      <c r="E41" s="2" t="s">
        <v>16</v>
      </c>
      <c r="F41" s="2">
        <v>1227</v>
      </c>
      <c r="G41" s="2">
        <v>52</v>
      </c>
      <c r="H41" s="2">
        <v>4</v>
      </c>
      <c r="I41" s="2">
        <v>200</v>
      </c>
      <c r="J41" s="1">
        <f t="shared" si="6"/>
        <v>-674.8</v>
      </c>
      <c r="K41" s="1">
        <f t="shared" si="7"/>
        <v>455355.0399999999</v>
      </c>
      <c r="L41" s="8" t="s">
        <v>151</v>
      </c>
      <c r="M41" s="1">
        <v>1315</v>
      </c>
      <c r="N41" s="1">
        <v>34</v>
      </c>
      <c r="O41" s="1">
        <f t="shared" si="15"/>
        <v>44710</v>
      </c>
      <c r="P41" s="7">
        <f aca="true" t="shared" si="16" ref="P41:P47">((M41-$O$11)^4)*N41</f>
        <v>4414417100498.459</v>
      </c>
      <c r="S41" s="7"/>
    </row>
    <row r="42" spans="1:19" ht="12.75">
      <c r="A42" s="1">
        <v>23</v>
      </c>
      <c r="B42" s="1" t="s">
        <v>9</v>
      </c>
      <c r="C42" s="1">
        <v>15</v>
      </c>
      <c r="D42" s="1" t="s">
        <v>15</v>
      </c>
      <c r="E42" s="1" t="s">
        <v>20</v>
      </c>
      <c r="F42" s="1">
        <v>1245</v>
      </c>
      <c r="G42" s="1">
        <v>48</v>
      </c>
      <c r="H42" s="1">
        <v>5</v>
      </c>
      <c r="I42" s="1">
        <v>400</v>
      </c>
      <c r="J42" s="1">
        <f t="shared" si="6"/>
        <v>-656.8</v>
      </c>
      <c r="K42" s="1">
        <f t="shared" si="7"/>
        <v>431386.23999999993</v>
      </c>
      <c r="L42" s="8" t="s">
        <v>152</v>
      </c>
      <c r="M42" s="1">
        <v>2025</v>
      </c>
      <c r="N42" s="1">
        <v>23</v>
      </c>
      <c r="O42" s="1">
        <f t="shared" si="15"/>
        <v>46575</v>
      </c>
      <c r="P42" s="7">
        <f t="shared" si="16"/>
        <v>3334157994.837991</v>
      </c>
      <c r="S42" s="7"/>
    </row>
    <row r="43" spans="1:19" ht="12.75">
      <c r="A43" s="1">
        <v>85</v>
      </c>
      <c r="B43" s="1" t="s">
        <v>9</v>
      </c>
      <c r="C43" s="1">
        <v>36</v>
      </c>
      <c r="D43" s="1" t="s">
        <v>10</v>
      </c>
      <c r="E43" s="1" t="s">
        <v>16</v>
      </c>
      <c r="F43" s="1">
        <v>1246</v>
      </c>
      <c r="G43" s="1">
        <v>43</v>
      </c>
      <c r="H43" s="1">
        <v>5</v>
      </c>
      <c r="I43" s="1">
        <v>800</v>
      </c>
      <c r="J43" s="1">
        <f t="shared" si="6"/>
        <v>-655.8</v>
      </c>
      <c r="K43" s="1">
        <f t="shared" si="7"/>
        <v>430073.63999999996</v>
      </c>
      <c r="L43" s="8" t="s">
        <v>153</v>
      </c>
      <c r="M43" s="1">
        <v>2735</v>
      </c>
      <c r="N43" s="1">
        <v>9</v>
      </c>
      <c r="O43" s="1">
        <f t="shared" si="15"/>
        <v>24615</v>
      </c>
      <c r="P43" s="7">
        <f t="shared" si="16"/>
        <v>4063685108842.545</v>
      </c>
      <c r="S43" s="7"/>
    </row>
    <row r="44" spans="1:17" ht="12.75">
      <c r="A44" s="1">
        <v>92</v>
      </c>
      <c r="B44" s="1" t="s">
        <v>9</v>
      </c>
      <c r="C44" s="1">
        <v>53</v>
      </c>
      <c r="D44" s="1" t="s">
        <v>13</v>
      </c>
      <c r="E44" s="1" t="s">
        <v>16</v>
      </c>
      <c r="F44" s="1">
        <v>1273</v>
      </c>
      <c r="G44" s="1">
        <v>40</v>
      </c>
      <c r="H44" s="1">
        <v>4</v>
      </c>
      <c r="I44" s="1">
        <v>800</v>
      </c>
      <c r="J44" s="1">
        <f t="shared" si="6"/>
        <v>-628.8</v>
      </c>
      <c r="K44" s="1">
        <f t="shared" si="7"/>
        <v>395389.43999999994</v>
      </c>
      <c r="L44" s="8" t="s">
        <v>154</v>
      </c>
      <c r="M44" s="1">
        <v>3445</v>
      </c>
      <c r="N44" s="1">
        <v>6</v>
      </c>
      <c r="O44" s="1">
        <f t="shared" si="15"/>
        <v>20670</v>
      </c>
      <c r="P44" s="7">
        <f t="shared" si="16"/>
        <v>32855440077995.65</v>
      </c>
      <c r="Q44" s="4"/>
    </row>
    <row r="45" spans="1:17" ht="12.75">
      <c r="A45" s="1">
        <v>43</v>
      </c>
      <c r="B45" s="1" t="s">
        <v>9</v>
      </c>
      <c r="C45" s="1">
        <v>26</v>
      </c>
      <c r="D45" s="1" t="s">
        <v>13</v>
      </c>
      <c r="E45" s="1" t="s">
        <v>19</v>
      </c>
      <c r="F45" s="1">
        <v>1349</v>
      </c>
      <c r="G45" s="1">
        <v>46</v>
      </c>
      <c r="H45" s="1">
        <v>4</v>
      </c>
      <c r="I45" s="1">
        <v>200</v>
      </c>
      <c r="J45" s="1">
        <f t="shared" si="6"/>
        <v>-552.8</v>
      </c>
      <c r="K45" s="1">
        <f t="shared" si="7"/>
        <v>305587.83999999997</v>
      </c>
      <c r="L45" s="8" t="s">
        <v>155</v>
      </c>
      <c r="M45" s="1">
        <v>4155</v>
      </c>
      <c r="N45" s="1">
        <v>4</v>
      </c>
      <c r="O45" s="1">
        <f t="shared" si="15"/>
        <v>16620</v>
      </c>
      <c r="P45" s="7">
        <f t="shared" si="16"/>
        <v>100656203237038.33</v>
      </c>
      <c r="Q45" s="4"/>
    </row>
    <row r="46" spans="1:16" ht="12.75">
      <c r="A46" s="1">
        <v>48</v>
      </c>
      <c r="B46" s="1" t="s">
        <v>8</v>
      </c>
      <c r="C46" s="1">
        <v>21</v>
      </c>
      <c r="D46" s="1" t="s">
        <v>13</v>
      </c>
      <c r="E46" s="1" t="s">
        <v>17</v>
      </c>
      <c r="F46" s="1">
        <v>1392</v>
      </c>
      <c r="G46" s="1">
        <v>50</v>
      </c>
      <c r="H46" s="1">
        <v>4</v>
      </c>
      <c r="I46" s="1">
        <v>800</v>
      </c>
      <c r="J46" s="1">
        <f t="shared" si="6"/>
        <v>-509.79999999999995</v>
      </c>
      <c r="K46" s="1">
        <f t="shared" si="7"/>
        <v>259896.03999999995</v>
      </c>
      <c r="L46" s="8" t="s">
        <v>156</v>
      </c>
      <c r="M46" s="1">
        <v>4865</v>
      </c>
      <c r="N46" s="1">
        <v>4</v>
      </c>
      <c r="O46" s="1">
        <f t="shared" si="15"/>
        <v>19460</v>
      </c>
      <c r="P46" s="7">
        <f t="shared" si="16"/>
        <v>302822015624993</v>
      </c>
    </row>
    <row r="47" spans="1:16" ht="12.75">
      <c r="A47" s="1">
        <v>97</v>
      </c>
      <c r="B47" s="1" t="s">
        <v>9</v>
      </c>
      <c r="C47" s="1">
        <v>40</v>
      </c>
      <c r="D47" s="1" t="s">
        <v>13</v>
      </c>
      <c r="E47" s="1" t="s">
        <v>18</v>
      </c>
      <c r="F47" s="1">
        <v>1401</v>
      </c>
      <c r="G47" s="1">
        <v>52</v>
      </c>
      <c r="H47" s="1">
        <v>4</v>
      </c>
      <c r="I47" s="1">
        <v>1200</v>
      </c>
      <c r="J47" s="1">
        <f t="shared" si="6"/>
        <v>-500.79999999999995</v>
      </c>
      <c r="K47" s="1">
        <f t="shared" si="7"/>
        <v>250800.63999999996</v>
      </c>
      <c r="L47" s="8" t="s">
        <v>157</v>
      </c>
      <c r="M47" s="1">
        <v>5575</v>
      </c>
      <c r="N47" s="1">
        <v>4</v>
      </c>
      <c r="O47" s="1">
        <f t="shared" si="15"/>
        <v>22300</v>
      </c>
      <c r="P47" s="7">
        <f t="shared" si="16"/>
        <v>717554481441800.8</v>
      </c>
    </row>
    <row r="48" spans="1:17" ht="12.75">
      <c r="A48" s="1">
        <v>93</v>
      </c>
      <c r="B48" s="1" t="s">
        <v>8</v>
      </c>
      <c r="C48" s="1">
        <v>20</v>
      </c>
      <c r="D48" s="1" t="s">
        <v>13</v>
      </c>
      <c r="E48" s="1" t="s">
        <v>16</v>
      </c>
      <c r="F48" s="1">
        <v>1418</v>
      </c>
      <c r="G48" s="1">
        <v>41</v>
      </c>
      <c r="H48" s="1">
        <v>4</v>
      </c>
      <c r="I48" s="1">
        <v>800</v>
      </c>
      <c r="J48" s="1">
        <f t="shared" si="6"/>
        <v>-483.79999999999995</v>
      </c>
      <c r="K48" s="1">
        <f t="shared" si="7"/>
        <v>234062.43999999994</v>
      </c>
      <c r="N48" s="1">
        <f>SUM(N40:N47)</f>
        <v>110</v>
      </c>
      <c r="O48" s="1">
        <f>SUM(O40:O47)</f>
        <v>210680</v>
      </c>
      <c r="P48" s="7">
        <f>SUM(P40:P47)</f>
        <v>1239003340159996.8</v>
      </c>
      <c r="Q48" s="4"/>
    </row>
    <row r="49" spans="1:17" ht="12.75">
      <c r="A49" s="6">
        <v>50</v>
      </c>
      <c r="B49" s="6" t="s">
        <v>8</v>
      </c>
      <c r="C49" s="6">
        <v>61</v>
      </c>
      <c r="D49" s="6" t="s">
        <v>10</v>
      </c>
      <c r="E49" s="6" t="s">
        <v>17</v>
      </c>
      <c r="F49" s="6">
        <v>1422</v>
      </c>
      <c r="G49" s="6">
        <v>40</v>
      </c>
      <c r="H49" s="6">
        <v>5</v>
      </c>
      <c r="I49" s="6">
        <v>400</v>
      </c>
      <c r="J49" s="1">
        <f t="shared" si="6"/>
        <v>-479.79999999999995</v>
      </c>
      <c r="K49" s="1">
        <f t="shared" si="7"/>
        <v>230208.03999999995</v>
      </c>
      <c r="N49" s="1" t="s">
        <v>90</v>
      </c>
      <c r="O49" s="1">
        <f>O48/110</f>
        <v>1915.2727272727273</v>
      </c>
      <c r="P49" s="7">
        <f>P48/110</f>
        <v>11263666728727.244</v>
      </c>
      <c r="Q49" s="4"/>
    </row>
    <row r="50" spans="1:17" ht="12.75">
      <c r="A50" s="6">
        <v>10</v>
      </c>
      <c r="B50" s="6" t="s">
        <v>9</v>
      </c>
      <c r="C50" s="6">
        <v>22</v>
      </c>
      <c r="D50" s="6" t="s">
        <v>13</v>
      </c>
      <c r="E50" s="6" t="s">
        <v>18</v>
      </c>
      <c r="F50" s="6">
        <v>1441</v>
      </c>
      <c r="G50" s="6">
        <v>47</v>
      </c>
      <c r="H50" s="6">
        <v>5</v>
      </c>
      <c r="I50" s="6">
        <v>800</v>
      </c>
      <c r="J50" s="1">
        <f t="shared" si="6"/>
        <v>-460.79999999999995</v>
      </c>
      <c r="K50" s="1">
        <f t="shared" si="7"/>
        <v>212336.63999999996</v>
      </c>
      <c r="M50" s="1" t="s">
        <v>28</v>
      </c>
      <c r="N50" s="1">
        <f>SQRT(P$22/110)</f>
        <v>1117.8296304198723</v>
      </c>
      <c r="P50" s="1">
        <f>P49/(N50)^4-3</f>
        <v>4.214019679753926</v>
      </c>
      <c r="Q50" s="4"/>
    </row>
    <row r="51" spans="1:17" ht="12.75">
      <c r="A51" s="2">
        <v>39</v>
      </c>
      <c r="B51" s="2" t="s">
        <v>8</v>
      </c>
      <c r="C51" s="2">
        <v>35</v>
      </c>
      <c r="D51" s="2" t="s">
        <v>10</v>
      </c>
      <c r="E51" s="2" t="s">
        <v>16</v>
      </c>
      <c r="F51" s="2">
        <v>1443</v>
      </c>
      <c r="G51" s="2">
        <v>46</v>
      </c>
      <c r="H51" s="2">
        <v>5</v>
      </c>
      <c r="I51" s="2">
        <v>400</v>
      </c>
      <c r="J51" s="1">
        <f t="shared" si="6"/>
        <v>-458.79999999999995</v>
      </c>
      <c r="K51" s="1">
        <f t="shared" si="7"/>
        <v>210497.43999999994</v>
      </c>
      <c r="Q51" s="4"/>
    </row>
    <row r="52" spans="1:17" ht="12.75">
      <c r="A52" s="1">
        <v>79</v>
      </c>
      <c r="B52" s="1" t="s">
        <v>8</v>
      </c>
      <c r="C52" s="1">
        <v>17</v>
      </c>
      <c r="D52" s="1" t="s">
        <v>13</v>
      </c>
      <c r="E52" s="1" t="s">
        <v>16</v>
      </c>
      <c r="F52" s="1">
        <v>1460</v>
      </c>
      <c r="G52" s="1">
        <v>44</v>
      </c>
      <c r="H52" s="1">
        <v>3</v>
      </c>
      <c r="I52" s="1">
        <v>100</v>
      </c>
      <c r="J52" s="1">
        <f t="shared" si="6"/>
        <v>-441.79999999999995</v>
      </c>
      <c r="K52" s="1">
        <f t="shared" si="7"/>
        <v>195187.23999999996</v>
      </c>
      <c r="Q52" s="4"/>
    </row>
    <row r="53" spans="1:17" ht="12.75">
      <c r="A53" s="6">
        <v>81</v>
      </c>
      <c r="B53" s="6" t="s">
        <v>8</v>
      </c>
      <c r="C53" s="6">
        <v>18</v>
      </c>
      <c r="D53" s="6" t="s">
        <v>10</v>
      </c>
      <c r="E53" s="6" t="s">
        <v>16</v>
      </c>
      <c r="F53" s="6">
        <v>1462</v>
      </c>
      <c r="G53" s="6">
        <v>55</v>
      </c>
      <c r="H53" s="6">
        <v>4</v>
      </c>
      <c r="I53" s="6">
        <v>200</v>
      </c>
      <c r="J53" s="1">
        <f t="shared" si="6"/>
        <v>-439.79999999999995</v>
      </c>
      <c r="K53" s="1">
        <f t="shared" si="7"/>
        <v>193424.03999999995</v>
      </c>
      <c r="Q53" s="4"/>
    </row>
    <row r="54" spans="1:17" ht="12.75">
      <c r="A54" s="1">
        <v>9</v>
      </c>
      <c r="B54" s="1" t="s">
        <v>8</v>
      </c>
      <c r="C54" s="1">
        <v>24</v>
      </c>
      <c r="D54" s="1" t="s">
        <v>10</v>
      </c>
      <c r="E54" s="1" t="s">
        <v>17</v>
      </c>
      <c r="F54" s="1">
        <v>1502</v>
      </c>
      <c r="G54" s="1">
        <v>40</v>
      </c>
      <c r="H54" s="1">
        <v>4</v>
      </c>
      <c r="I54" s="1">
        <v>200</v>
      </c>
      <c r="J54" s="1">
        <f t="shared" si="6"/>
        <v>-399.79999999999995</v>
      </c>
      <c r="K54" s="1">
        <f t="shared" si="7"/>
        <v>159840.03999999995</v>
      </c>
      <c r="Q54" s="4"/>
    </row>
    <row r="55" spans="1:17" ht="12.75">
      <c r="A55" s="1">
        <v>53</v>
      </c>
      <c r="B55" s="1" t="s">
        <v>8</v>
      </c>
      <c r="C55" s="1">
        <v>27</v>
      </c>
      <c r="D55" s="1" t="s">
        <v>13</v>
      </c>
      <c r="E55" s="1" t="s">
        <v>17</v>
      </c>
      <c r="F55" s="1">
        <v>1505</v>
      </c>
      <c r="G55" s="1">
        <v>45</v>
      </c>
      <c r="H55" s="1">
        <v>5</v>
      </c>
      <c r="I55" s="1">
        <v>800</v>
      </c>
      <c r="J55" s="1">
        <f t="shared" si="6"/>
        <v>-396.79999999999995</v>
      </c>
      <c r="K55" s="1">
        <f t="shared" si="7"/>
        <v>157450.23999999996</v>
      </c>
      <c r="Q55" s="4"/>
    </row>
    <row r="56" spans="1:17" ht="12.75">
      <c r="A56" s="1">
        <v>1</v>
      </c>
      <c r="B56" s="1" t="s">
        <v>8</v>
      </c>
      <c r="C56" s="1">
        <v>55</v>
      </c>
      <c r="D56" s="1" t="s">
        <v>10</v>
      </c>
      <c r="E56" s="1" t="s">
        <v>16</v>
      </c>
      <c r="F56" s="1">
        <v>1547</v>
      </c>
      <c r="G56" s="1">
        <v>46</v>
      </c>
      <c r="H56" s="1">
        <v>3</v>
      </c>
      <c r="I56" s="1">
        <v>100</v>
      </c>
      <c r="J56" s="1">
        <f t="shared" si="6"/>
        <v>-354.79999999999995</v>
      </c>
      <c r="K56" s="1">
        <f t="shared" si="7"/>
        <v>125883.03999999996</v>
      </c>
      <c r="Q56" s="4"/>
    </row>
    <row r="57" spans="1:11" ht="12.75">
      <c r="A57" s="1">
        <v>64</v>
      </c>
      <c r="B57" s="1" t="s">
        <v>8</v>
      </c>
      <c r="C57" s="1">
        <v>29</v>
      </c>
      <c r="D57" s="1" t="s">
        <v>10</v>
      </c>
      <c r="E57" s="1" t="s">
        <v>16</v>
      </c>
      <c r="F57" s="1">
        <v>1570</v>
      </c>
      <c r="G57" s="1">
        <v>40</v>
      </c>
      <c r="H57" s="1">
        <v>3</v>
      </c>
      <c r="I57" s="1">
        <v>200</v>
      </c>
      <c r="J57" s="1">
        <f t="shared" si="6"/>
        <v>-331.79999999999995</v>
      </c>
      <c r="K57" s="1">
        <f t="shared" si="7"/>
        <v>110091.23999999998</v>
      </c>
    </row>
    <row r="58" spans="1:11" ht="12.75">
      <c r="A58" s="1">
        <v>58</v>
      </c>
      <c r="B58" s="1" t="s">
        <v>8</v>
      </c>
      <c r="C58" s="1">
        <v>30</v>
      </c>
      <c r="D58" s="1" t="s">
        <v>13</v>
      </c>
      <c r="E58" s="1" t="s">
        <v>18</v>
      </c>
      <c r="F58" s="1">
        <v>1581</v>
      </c>
      <c r="G58" s="1">
        <v>40</v>
      </c>
      <c r="H58" s="1">
        <v>4</v>
      </c>
      <c r="I58" s="1">
        <v>800</v>
      </c>
      <c r="J58" s="1">
        <f t="shared" si="6"/>
        <v>-320.79999999999995</v>
      </c>
      <c r="K58" s="1">
        <f t="shared" si="7"/>
        <v>102912.63999999997</v>
      </c>
    </row>
    <row r="59" spans="1:11" ht="12.75">
      <c r="A59" s="1">
        <v>14</v>
      </c>
      <c r="B59" s="1" t="s">
        <v>9</v>
      </c>
      <c r="C59" s="1">
        <v>32</v>
      </c>
      <c r="D59" s="1" t="s">
        <v>13</v>
      </c>
      <c r="E59" s="1" t="s">
        <v>17</v>
      </c>
      <c r="F59" s="1">
        <v>1589</v>
      </c>
      <c r="G59" s="1">
        <v>55</v>
      </c>
      <c r="H59" s="1">
        <v>3</v>
      </c>
      <c r="I59" s="1">
        <v>1200</v>
      </c>
      <c r="J59" s="1">
        <f t="shared" si="6"/>
        <v>-312.79999999999995</v>
      </c>
      <c r="K59" s="1">
        <f t="shared" si="7"/>
        <v>97843.83999999997</v>
      </c>
    </row>
    <row r="60" spans="1:11" ht="12.75">
      <c r="A60" s="1">
        <v>19</v>
      </c>
      <c r="B60" s="1" t="s">
        <v>8</v>
      </c>
      <c r="C60" s="1">
        <v>35</v>
      </c>
      <c r="D60" s="1" t="s">
        <v>10</v>
      </c>
      <c r="E60" s="1" t="s">
        <v>17</v>
      </c>
      <c r="F60" s="1">
        <v>1603</v>
      </c>
      <c r="G60" s="1">
        <v>45</v>
      </c>
      <c r="H60" s="1">
        <v>3</v>
      </c>
      <c r="I60" s="1">
        <v>800</v>
      </c>
      <c r="J60" s="1">
        <f t="shared" si="6"/>
        <v>-298.79999999999995</v>
      </c>
      <c r="K60" s="1">
        <f t="shared" si="7"/>
        <v>89281.43999999997</v>
      </c>
    </row>
    <row r="61" spans="1:11" ht="12.75">
      <c r="A61" s="2">
        <v>6</v>
      </c>
      <c r="B61" s="2" t="s">
        <v>8</v>
      </c>
      <c r="C61" s="2">
        <v>24</v>
      </c>
      <c r="D61" s="2" t="s">
        <v>10</v>
      </c>
      <c r="E61" s="2" t="s">
        <v>16</v>
      </c>
      <c r="F61" s="2">
        <v>1659</v>
      </c>
      <c r="G61" s="2">
        <v>46</v>
      </c>
      <c r="H61" s="2">
        <v>4</v>
      </c>
      <c r="I61" s="2">
        <v>800</v>
      </c>
      <c r="J61" s="1">
        <f t="shared" si="6"/>
        <v>-242.79999999999995</v>
      </c>
      <c r="K61" s="1">
        <f t="shared" si="7"/>
        <v>58951.839999999975</v>
      </c>
    </row>
    <row r="62" spans="1:11" ht="12.75">
      <c r="A62" s="6">
        <v>49</v>
      </c>
      <c r="B62" s="6" t="s">
        <v>8</v>
      </c>
      <c r="C62" s="6">
        <v>31</v>
      </c>
      <c r="D62" s="6" t="s">
        <v>10</v>
      </c>
      <c r="E62" s="6" t="s">
        <v>16</v>
      </c>
      <c r="F62" s="6">
        <v>1682</v>
      </c>
      <c r="G62" s="6">
        <v>43</v>
      </c>
      <c r="H62" s="6">
        <v>5</v>
      </c>
      <c r="I62" s="6">
        <v>400</v>
      </c>
      <c r="J62" s="1">
        <f t="shared" si="6"/>
        <v>-219.79999999999995</v>
      </c>
      <c r="K62" s="1">
        <f t="shared" si="7"/>
        <v>48312.03999999998</v>
      </c>
    </row>
    <row r="63" spans="1:11" ht="12.75">
      <c r="A63" s="1">
        <v>16</v>
      </c>
      <c r="B63" s="1" t="s">
        <v>8</v>
      </c>
      <c r="C63" s="1">
        <v>45</v>
      </c>
      <c r="D63" s="1" t="s">
        <v>13</v>
      </c>
      <c r="E63" s="1" t="s">
        <v>19</v>
      </c>
      <c r="F63" s="1">
        <v>1721</v>
      </c>
      <c r="G63" s="1">
        <v>55</v>
      </c>
      <c r="H63" s="1">
        <v>3</v>
      </c>
      <c r="I63" s="1">
        <v>200</v>
      </c>
      <c r="J63" s="1">
        <f t="shared" si="6"/>
        <v>-180.79999999999995</v>
      </c>
      <c r="K63" s="1">
        <f t="shared" si="7"/>
        <v>32688.639999999985</v>
      </c>
    </row>
    <row r="64" spans="1:11" ht="12.75">
      <c r="A64" s="6">
        <v>31</v>
      </c>
      <c r="B64" s="6" t="s">
        <v>9</v>
      </c>
      <c r="C64" s="6">
        <v>17</v>
      </c>
      <c r="D64" s="6" t="s">
        <v>13</v>
      </c>
      <c r="E64" s="6" t="s">
        <v>16</v>
      </c>
      <c r="F64" s="6">
        <v>1722</v>
      </c>
      <c r="G64" s="6">
        <v>48</v>
      </c>
      <c r="H64" s="6">
        <v>4</v>
      </c>
      <c r="I64" s="6">
        <v>1200</v>
      </c>
      <c r="J64" s="1">
        <f t="shared" si="6"/>
        <v>-179.79999999999995</v>
      </c>
      <c r="K64" s="1">
        <f t="shared" si="7"/>
        <v>32328.039999999983</v>
      </c>
    </row>
    <row r="65" spans="1:11" ht="12.75">
      <c r="A65" s="1">
        <v>102</v>
      </c>
      <c r="B65" s="1" t="s">
        <v>9</v>
      </c>
      <c r="C65" s="1">
        <v>23</v>
      </c>
      <c r="D65" s="1" t="s">
        <v>10</v>
      </c>
      <c r="E65" s="1" t="s">
        <v>16</v>
      </c>
      <c r="F65" s="1">
        <v>1739</v>
      </c>
      <c r="G65" s="1">
        <v>45</v>
      </c>
      <c r="H65" s="1">
        <v>4</v>
      </c>
      <c r="I65" s="1">
        <v>400</v>
      </c>
      <c r="J65" s="1">
        <f t="shared" si="6"/>
        <v>-162.79999999999995</v>
      </c>
      <c r="K65" s="1">
        <f t="shared" si="7"/>
        <v>26503.839999999986</v>
      </c>
    </row>
    <row r="66" spans="1:11" ht="12.75">
      <c r="A66" s="1">
        <v>109</v>
      </c>
      <c r="B66" s="1" t="s">
        <v>8</v>
      </c>
      <c r="C66" s="1">
        <v>21</v>
      </c>
      <c r="D66" s="1" t="s">
        <v>13</v>
      </c>
      <c r="E66" s="1" t="s">
        <v>16</v>
      </c>
      <c r="F66" s="1">
        <v>1754</v>
      </c>
      <c r="G66" s="1">
        <v>42</v>
      </c>
      <c r="H66" s="1">
        <v>4</v>
      </c>
      <c r="I66" s="1">
        <v>400</v>
      </c>
      <c r="J66" s="1">
        <f t="shared" si="6"/>
        <v>-147.79999999999995</v>
      </c>
      <c r="K66" s="1">
        <f t="shared" si="7"/>
        <v>21844.839999999986</v>
      </c>
    </row>
    <row r="67" spans="1:11" ht="12.75">
      <c r="A67" s="6">
        <v>70</v>
      </c>
      <c r="B67" s="6" t="s">
        <v>8</v>
      </c>
      <c r="C67" s="6">
        <v>28</v>
      </c>
      <c r="D67" s="6" t="s">
        <v>10</v>
      </c>
      <c r="E67" s="6" t="s">
        <v>16</v>
      </c>
      <c r="F67" s="6">
        <v>1773</v>
      </c>
      <c r="G67" s="6">
        <v>48</v>
      </c>
      <c r="H67" s="6">
        <v>3</v>
      </c>
      <c r="I67" s="6">
        <v>100</v>
      </c>
      <c r="J67" s="1">
        <f aca="true" t="shared" si="17" ref="J67:J111">F67-1901.8</f>
        <v>-128.79999999999995</v>
      </c>
      <c r="K67" s="1">
        <f aca="true" t="shared" si="18" ref="K67:K111">J67^2</f>
        <v>16589.439999999988</v>
      </c>
    </row>
    <row r="68" spans="1:11" ht="12.75">
      <c r="A68" s="1">
        <v>8</v>
      </c>
      <c r="B68" s="1" t="s">
        <v>8</v>
      </c>
      <c r="C68" s="1">
        <v>34</v>
      </c>
      <c r="D68" s="1" t="s">
        <v>10</v>
      </c>
      <c r="E68" s="1" t="s">
        <v>16</v>
      </c>
      <c r="F68" s="1">
        <v>1779</v>
      </c>
      <c r="G68" s="1">
        <v>44</v>
      </c>
      <c r="H68" s="1">
        <v>3</v>
      </c>
      <c r="I68" s="1">
        <v>400</v>
      </c>
      <c r="J68" s="1">
        <f t="shared" si="17"/>
        <v>-122.79999999999995</v>
      </c>
      <c r="K68" s="1">
        <f t="shared" si="18"/>
        <v>15079.83999999999</v>
      </c>
    </row>
    <row r="69" spans="1:11" ht="12.75">
      <c r="A69" s="1">
        <v>15</v>
      </c>
      <c r="B69" s="1" t="s">
        <v>8</v>
      </c>
      <c r="C69" s="1">
        <v>36</v>
      </c>
      <c r="D69" s="1" t="s">
        <v>13</v>
      </c>
      <c r="E69" s="1" t="s">
        <v>17</v>
      </c>
      <c r="F69" s="1">
        <v>1782</v>
      </c>
      <c r="G69" s="1">
        <v>42</v>
      </c>
      <c r="H69" s="1">
        <v>4</v>
      </c>
      <c r="I69" s="1">
        <v>800</v>
      </c>
      <c r="J69" s="1">
        <f t="shared" si="17"/>
        <v>-119.79999999999995</v>
      </c>
      <c r="K69" s="1">
        <f t="shared" si="18"/>
        <v>14352.03999999999</v>
      </c>
    </row>
    <row r="70" spans="1:11" ht="12.75">
      <c r="A70" s="1">
        <v>103</v>
      </c>
      <c r="B70" s="1" t="s">
        <v>9</v>
      </c>
      <c r="C70" s="1">
        <v>34</v>
      </c>
      <c r="D70" s="1" t="s">
        <v>10</v>
      </c>
      <c r="E70" s="1" t="s">
        <v>17</v>
      </c>
      <c r="F70" s="1">
        <v>1782</v>
      </c>
      <c r="G70" s="1">
        <v>55</v>
      </c>
      <c r="H70" s="1">
        <v>4</v>
      </c>
      <c r="I70" s="1">
        <v>400</v>
      </c>
      <c r="J70" s="1">
        <f t="shared" si="17"/>
        <v>-119.79999999999995</v>
      </c>
      <c r="K70" s="1">
        <f t="shared" si="18"/>
        <v>14352.03999999999</v>
      </c>
    </row>
    <row r="71" spans="1:11" ht="12.75">
      <c r="A71" s="2">
        <v>98</v>
      </c>
      <c r="B71" s="2" t="s">
        <v>8</v>
      </c>
      <c r="C71" s="2">
        <v>19</v>
      </c>
      <c r="D71" s="2" t="s">
        <v>10</v>
      </c>
      <c r="E71" s="2" t="s">
        <v>16</v>
      </c>
      <c r="F71" s="2">
        <v>1810</v>
      </c>
      <c r="G71" s="2">
        <v>43</v>
      </c>
      <c r="H71" s="2">
        <v>3</v>
      </c>
      <c r="I71" s="2">
        <v>800</v>
      </c>
      <c r="J71" s="1">
        <f t="shared" si="17"/>
        <v>-91.79999999999995</v>
      </c>
      <c r="K71" s="1">
        <f t="shared" si="18"/>
        <v>8427.239999999993</v>
      </c>
    </row>
    <row r="72" spans="1:11" ht="12.75">
      <c r="A72" s="1">
        <v>75</v>
      </c>
      <c r="B72" s="1" t="s">
        <v>8</v>
      </c>
      <c r="C72" s="1">
        <v>36</v>
      </c>
      <c r="D72" s="1" t="s">
        <v>10</v>
      </c>
      <c r="E72" s="1" t="s">
        <v>17</v>
      </c>
      <c r="F72" s="1">
        <v>1858</v>
      </c>
      <c r="G72" s="1">
        <v>52</v>
      </c>
      <c r="H72" s="1">
        <v>3</v>
      </c>
      <c r="I72" s="1">
        <v>400</v>
      </c>
      <c r="J72" s="1">
        <f t="shared" si="17"/>
        <v>-43.799999999999955</v>
      </c>
      <c r="K72" s="1">
        <f t="shared" si="18"/>
        <v>1918.439999999996</v>
      </c>
    </row>
    <row r="73" spans="1:11" ht="12.75">
      <c r="A73" s="1">
        <v>5</v>
      </c>
      <c r="B73" s="1" t="s">
        <v>9</v>
      </c>
      <c r="C73" s="1">
        <v>35</v>
      </c>
      <c r="D73" s="1" t="s">
        <v>10</v>
      </c>
      <c r="E73" s="1" t="s">
        <v>16</v>
      </c>
      <c r="F73" s="1">
        <v>1930</v>
      </c>
      <c r="G73" s="1">
        <v>42</v>
      </c>
      <c r="H73" s="1">
        <v>4</v>
      </c>
      <c r="I73" s="1">
        <v>100</v>
      </c>
      <c r="J73" s="1">
        <f t="shared" si="17"/>
        <v>28.200000000000045</v>
      </c>
      <c r="K73" s="1">
        <f t="shared" si="18"/>
        <v>795.2400000000025</v>
      </c>
    </row>
    <row r="74" spans="1:11" ht="12.75">
      <c r="A74" s="1">
        <v>77</v>
      </c>
      <c r="B74" s="1" t="s">
        <v>8</v>
      </c>
      <c r="C74" s="1">
        <v>65</v>
      </c>
      <c r="D74" s="1" t="s">
        <v>10</v>
      </c>
      <c r="E74" s="1" t="s">
        <v>16</v>
      </c>
      <c r="F74" s="1">
        <v>1975</v>
      </c>
      <c r="G74" s="1">
        <v>44</v>
      </c>
      <c r="H74" s="1">
        <v>3</v>
      </c>
      <c r="I74" s="1">
        <v>800</v>
      </c>
      <c r="J74" s="1">
        <f t="shared" si="17"/>
        <v>73.20000000000005</v>
      </c>
      <c r="K74" s="1">
        <f t="shared" si="18"/>
        <v>5358.240000000007</v>
      </c>
    </row>
    <row r="75" spans="1:11" ht="12.75">
      <c r="A75" s="1">
        <v>4</v>
      </c>
      <c r="B75" s="1" t="s">
        <v>9</v>
      </c>
      <c r="C75" s="1">
        <v>25</v>
      </c>
      <c r="D75" s="1" t="s">
        <v>11</v>
      </c>
      <c r="E75" s="1" t="s">
        <v>17</v>
      </c>
      <c r="F75" s="1">
        <v>2025</v>
      </c>
      <c r="G75" s="1">
        <v>55</v>
      </c>
      <c r="H75" s="1">
        <v>3</v>
      </c>
      <c r="I75" s="1">
        <v>1200</v>
      </c>
      <c r="J75" s="1">
        <f t="shared" si="17"/>
        <v>123.20000000000005</v>
      </c>
      <c r="K75" s="1">
        <f t="shared" si="18"/>
        <v>15178.24000000001</v>
      </c>
    </row>
    <row r="76" spans="1:11" ht="12.75">
      <c r="A76" s="1">
        <v>12</v>
      </c>
      <c r="B76" s="1" t="s">
        <v>8</v>
      </c>
      <c r="C76" s="1">
        <v>27</v>
      </c>
      <c r="D76" s="1" t="s">
        <v>10</v>
      </c>
      <c r="E76" s="1" t="s">
        <v>16</v>
      </c>
      <c r="F76" s="1">
        <v>2043</v>
      </c>
      <c r="G76" s="1">
        <v>45</v>
      </c>
      <c r="H76" s="1">
        <v>4</v>
      </c>
      <c r="I76" s="1">
        <v>400</v>
      </c>
      <c r="J76" s="1">
        <f t="shared" si="17"/>
        <v>141.20000000000005</v>
      </c>
      <c r="K76" s="1">
        <f t="shared" si="18"/>
        <v>19937.440000000013</v>
      </c>
    </row>
    <row r="77" spans="1:11" ht="12.75">
      <c r="A77" s="1">
        <v>33</v>
      </c>
      <c r="B77" s="1" t="s">
        <v>8</v>
      </c>
      <c r="C77" s="1">
        <v>46</v>
      </c>
      <c r="D77" s="1" t="s">
        <v>11</v>
      </c>
      <c r="E77" s="1" t="s">
        <v>18</v>
      </c>
      <c r="F77" s="1">
        <v>2043</v>
      </c>
      <c r="G77" s="1">
        <v>47</v>
      </c>
      <c r="H77" s="1">
        <v>3</v>
      </c>
      <c r="I77" s="1">
        <v>800</v>
      </c>
      <c r="J77" s="1">
        <f t="shared" si="17"/>
        <v>141.20000000000005</v>
      </c>
      <c r="K77" s="1">
        <f t="shared" si="18"/>
        <v>19937.440000000013</v>
      </c>
    </row>
    <row r="78" spans="1:11" ht="12.75">
      <c r="A78" s="1">
        <v>38</v>
      </c>
      <c r="B78" s="1" t="s">
        <v>9</v>
      </c>
      <c r="C78" s="1">
        <v>68</v>
      </c>
      <c r="D78" s="1" t="s">
        <v>11</v>
      </c>
      <c r="E78" s="1" t="s">
        <v>18</v>
      </c>
      <c r="F78" s="1">
        <v>2046</v>
      </c>
      <c r="G78" s="1">
        <v>42</v>
      </c>
      <c r="H78" s="1">
        <v>3</v>
      </c>
      <c r="I78" s="1">
        <v>100</v>
      </c>
      <c r="J78" s="1">
        <f t="shared" si="17"/>
        <v>144.20000000000005</v>
      </c>
      <c r="K78" s="1">
        <f t="shared" si="18"/>
        <v>20793.640000000014</v>
      </c>
    </row>
    <row r="79" spans="1:11" ht="12.75">
      <c r="A79" s="6">
        <v>101</v>
      </c>
      <c r="B79" s="6" t="s">
        <v>9</v>
      </c>
      <c r="C79" s="6">
        <v>27</v>
      </c>
      <c r="D79" s="6" t="s">
        <v>11</v>
      </c>
      <c r="E79" s="6" t="s">
        <v>16</v>
      </c>
      <c r="F79" s="6">
        <v>2142</v>
      </c>
      <c r="G79" s="6">
        <v>46</v>
      </c>
      <c r="H79" s="6">
        <v>3</v>
      </c>
      <c r="I79" s="6">
        <v>100</v>
      </c>
      <c r="J79" s="1">
        <f t="shared" si="17"/>
        <v>240.20000000000005</v>
      </c>
      <c r="K79" s="1">
        <f t="shared" si="18"/>
        <v>57696.04000000002</v>
      </c>
    </row>
    <row r="80" spans="1:11" ht="12.75">
      <c r="A80" s="1">
        <v>69</v>
      </c>
      <c r="B80" s="1" t="s">
        <v>8</v>
      </c>
      <c r="C80" s="1">
        <v>23</v>
      </c>
      <c r="D80" s="1" t="s">
        <v>10</v>
      </c>
      <c r="E80" s="1" t="s">
        <v>17</v>
      </c>
      <c r="F80" s="1">
        <v>2155</v>
      </c>
      <c r="G80" s="1">
        <v>47</v>
      </c>
      <c r="H80" s="1">
        <v>2</v>
      </c>
      <c r="I80" s="1">
        <v>400</v>
      </c>
      <c r="J80" s="1">
        <f t="shared" si="17"/>
        <v>253.20000000000005</v>
      </c>
      <c r="K80" s="1">
        <f t="shared" si="18"/>
        <v>64110.24000000002</v>
      </c>
    </row>
    <row r="81" spans="1:11" ht="12.75">
      <c r="A81" s="2">
        <v>108</v>
      </c>
      <c r="B81" s="2" t="s">
        <v>9</v>
      </c>
      <c r="C81" s="2">
        <v>38</v>
      </c>
      <c r="D81" s="2" t="s">
        <v>11</v>
      </c>
      <c r="E81" s="2" t="s">
        <v>17</v>
      </c>
      <c r="F81" s="2">
        <v>2205</v>
      </c>
      <c r="G81" s="2">
        <v>55</v>
      </c>
      <c r="H81" s="2">
        <v>2</v>
      </c>
      <c r="I81" s="2">
        <v>1200</v>
      </c>
      <c r="J81" s="1">
        <f t="shared" si="17"/>
        <v>303.20000000000005</v>
      </c>
      <c r="K81" s="1">
        <f t="shared" si="18"/>
        <v>91930.24000000003</v>
      </c>
    </row>
    <row r="82" spans="1:11" ht="12.75">
      <c r="A82" s="1">
        <v>56</v>
      </c>
      <c r="B82" s="1" t="s">
        <v>9</v>
      </c>
      <c r="C82" s="1">
        <v>21</v>
      </c>
      <c r="D82" s="1" t="s">
        <v>10</v>
      </c>
      <c r="E82" s="1" t="s">
        <v>17</v>
      </c>
      <c r="F82" s="1">
        <v>2227</v>
      </c>
      <c r="G82" s="1">
        <v>42</v>
      </c>
      <c r="H82" s="1">
        <v>2</v>
      </c>
      <c r="I82" s="1">
        <v>1200</v>
      </c>
      <c r="J82" s="1">
        <f t="shared" si="17"/>
        <v>325.20000000000005</v>
      </c>
      <c r="K82" s="1">
        <f t="shared" si="18"/>
        <v>105755.04000000002</v>
      </c>
    </row>
    <row r="83" spans="1:11" ht="12.75">
      <c r="A83" s="1">
        <v>105</v>
      </c>
      <c r="B83" s="1" t="s">
        <v>9</v>
      </c>
      <c r="C83" s="1">
        <v>29</v>
      </c>
      <c r="D83" s="1" t="s">
        <v>10</v>
      </c>
      <c r="E83" s="1" t="s">
        <v>17</v>
      </c>
      <c r="F83" s="1">
        <v>2310</v>
      </c>
      <c r="G83" s="1">
        <v>42</v>
      </c>
      <c r="H83" s="1">
        <v>2</v>
      </c>
      <c r="I83" s="1">
        <v>100</v>
      </c>
      <c r="J83" s="1">
        <f t="shared" si="17"/>
        <v>408.20000000000005</v>
      </c>
      <c r="K83" s="1">
        <f t="shared" si="18"/>
        <v>166627.24000000005</v>
      </c>
    </row>
    <row r="84" spans="1:11" ht="12.75">
      <c r="A84" s="1">
        <v>13</v>
      </c>
      <c r="B84" s="1" t="s">
        <v>9</v>
      </c>
      <c r="C84" s="1">
        <v>23</v>
      </c>
      <c r="D84" s="1" t="s">
        <v>11</v>
      </c>
      <c r="E84" s="1" t="s">
        <v>19</v>
      </c>
      <c r="F84" s="1">
        <v>2376</v>
      </c>
      <c r="G84" s="1">
        <v>45</v>
      </c>
      <c r="H84" s="1">
        <v>2</v>
      </c>
      <c r="I84" s="1">
        <v>400</v>
      </c>
      <c r="J84" s="1">
        <f t="shared" si="17"/>
        <v>474.20000000000005</v>
      </c>
      <c r="K84" s="1">
        <f t="shared" si="18"/>
        <v>224865.64000000004</v>
      </c>
    </row>
    <row r="85" spans="1:11" ht="12.75">
      <c r="A85" s="1">
        <v>104</v>
      </c>
      <c r="B85" s="1" t="s">
        <v>9</v>
      </c>
      <c r="C85" s="1">
        <v>26</v>
      </c>
      <c r="D85" s="1" t="s">
        <v>10</v>
      </c>
      <c r="E85" s="1" t="s">
        <v>17</v>
      </c>
      <c r="F85" s="1">
        <v>2386</v>
      </c>
      <c r="G85" s="1">
        <v>49</v>
      </c>
      <c r="H85" s="1">
        <v>3</v>
      </c>
      <c r="I85" s="1">
        <v>800</v>
      </c>
      <c r="J85" s="1">
        <f t="shared" si="17"/>
        <v>484.20000000000005</v>
      </c>
      <c r="K85" s="1">
        <f t="shared" si="18"/>
        <v>234449.64000000004</v>
      </c>
    </row>
    <row r="86" spans="1:11" ht="12.75">
      <c r="A86" s="6">
        <v>90</v>
      </c>
      <c r="B86" s="6" t="s">
        <v>8</v>
      </c>
      <c r="C86" s="6">
        <v>41</v>
      </c>
      <c r="D86" s="6" t="s">
        <v>10</v>
      </c>
      <c r="E86" s="6" t="s">
        <v>16</v>
      </c>
      <c r="F86" s="6">
        <v>2466</v>
      </c>
      <c r="G86" s="6">
        <v>50</v>
      </c>
      <c r="H86" s="6">
        <v>3</v>
      </c>
      <c r="I86" s="6">
        <v>200</v>
      </c>
      <c r="J86" s="1">
        <f t="shared" si="17"/>
        <v>564.2</v>
      </c>
      <c r="K86" s="1">
        <f t="shared" si="18"/>
        <v>318321.6400000001</v>
      </c>
    </row>
    <row r="87" spans="1:11" ht="12.75">
      <c r="A87" s="1">
        <v>83</v>
      </c>
      <c r="B87" s="1" t="s">
        <v>8</v>
      </c>
      <c r="C87" s="1">
        <v>26</v>
      </c>
      <c r="D87" s="1" t="s">
        <v>11</v>
      </c>
      <c r="E87" s="1" t="s">
        <v>16</v>
      </c>
      <c r="F87" s="1">
        <v>2481</v>
      </c>
      <c r="G87" s="1">
        <v>50</v>
      </c>
      <c r="H87" s="1">
        <v>3</v>
      </c>
      <c r="I87" s="1">
        <v>200</v>
      </c>
      <c r="J87" s="1">
        <f t="shared" si="17"/>
        <v>579.2</v>
      </c>
      <c r="K87" s="1">
        <f t="shared" si="18"/>
        <v>335472.6400000001</v>
      </c>
    </row>
    <row r="88" spans="1:11" ht="12.75">
      <c r="A88" s="1">
        <v>94</v>
      </c>
      <c r="B88" s="1" t="s">
        <v>9</v>
      </c>
      <c r="C88" s="1">
        <v>15</v>
      </c>
      <c r="D88" s="1" t="s">
        <v>15</v>
      </c>
      <c r="E88" s="1" t="s">
        <v>20</v>
      </c>
      <c r="F88" s="1">
        <v>2543</v>
      </c>
      <c r="G88" s="1">
        <v>53</v>
      </c>
      <c r="H88" s="1">
        <v>3</v>
      </c>
      <c r="I88" s="1">
        <v>100</v>
      </c>
      <c r="J88" s="1">
        <f t="shared" si="17"/>
        <v>641.2</v>
      </c>
      <c r="K88" s="1">
        <f t="shared" si="18"/>
        <v>411137.44000000006</v>
      </c>
    </row>
    <row r="89" spans="1:11" ht="12.75">
      <c r="A89" s="1">
        <v>95</v>
      </c>
      <c r="B89" s="1" t="s">
        <v>9</v>
      </c>
      <c r="C89" s="1">
        <v>25</v>
      </c>
      <c r="D89" s="1" t="s">
        <v>11</v>
      </c>
      <c r="E89" s="1" t="s">
        <v>16</v>
      </c>
      <c r="F89" s="1">
        <v>2661</v>
      </c>
      <c r="G89" s="1">
        <v>48</v>
      </c>
      <c r="H89" s="1">
        <v>2</v>
      </c>
      <c r="I89" s="1">
        <v>100</v>
      </c>
      <c r="J89" s="1">
        <f t="shared" si="17"/>
        <v>759.2</v>
      </c>
      <c r="K89" s="1">
        <f t="shared" si="18"/>
        <v>576384.64</v>
      </c>
    </row>
    <row r="90" spans="1:11" ht="12.75">
      <c r="A90" s="6">
        <v>21</v>
      </c>
      <c r="B90" s="6" t="s">
        <v>9</v>
      </c>
      <c r="C90" s="6">
        <v>23</v>
      </c>
      <c r="D90" s="6" t="s">
        <v>10</v>
      </c>
      <c r="E90" s="6" t="s">
        <v>16</v>
      </c>
      <c r="F90" s="6">
        <v>2754</v>
      </c>
      <c r="G90" s="6">
        <v>53</v>
      </c>
      <c r="H90" s="6">
        <v>2</v>
      </c>
      <c r="I90" s="6">
        <v>100</v>
      </c>
      <c r="J90" s="1">
        <f t="shared" si="17"/>
        <v>852.2</v>
      </c>
      <c r="K90" s="1">
        <f t="shared" si="18"/>
        <v>726244.8400000001</v>
      </c>
    </row>
    <row r="91" spans="1:11" ht="12.75">
      <c r="A91" s="2">
        <v>28</v>
      </c>
      <c r="B91" s="2" t="s">
        <v>8</v>
      </c>
      <c r="C91" s="2">
        <v>50</v>
      </c>
      <c r="D91" s="2" t="s">
        <v>11</v>
      </c>
      <c r="E91" s="2" t="s">
        <v>19</v>
      </c>
      <c r="F91" s="2">
        <v>3014</v>
      </c>
      <c r="G91" s="2">
        <v>41</v>
      </c>
      <c r="H91" s="2">
        <v>2</v>
      </c>
      <c r="I91" s="2">
        <v>100</v>
      </c>
      <c r="J91" s="1">
        <f t="shared" si="17"/>
        <v>1112.2</v>
      </c>
      <c r="K91" s="1">
        <f t="shared" si="18"/>
        <v>1236988.84</v>
      </c>
    </row>
    <row r="92" spans="1:11" ht="12.75">
      <c r="A92" s="1">
        <v>86</v>
      </c>
      <c r="B92" s="1" t="s">
        <v>8</v>
      </c>
      <c r="C92" s="1">
        <v>29</v>
      </c>
      <c r="D92" s="1" t="s">
        <v>11</v>
      </c>
      <c r="E92" s="1" t="s">
        <v>17</v>
      </c>
      <c r="F92" s="1">
        <v>3018</v>
      </c>
      <c r="G92" s="1">
        <v>40</v>
      </c>
      <c r="H92" s="1">
        <v>3</v>
      </c>
      <c r="I92" s="1">
        <v>1200</v>
      </c>
      <c r="J92" s="1">
        <f t="shared" si="17"/>
        <v>1116.2</v>
      </c>
      <c r="K92" s="1">
        <f t="shared" si="18"/>
        <v>1245902.4400000002</v>
      </c>
    </row>
    <row r="93" spans="1:11" ht="12.75">
      <c r="A93" s="1">
        <v>78</v>
      </c>
      <c r="B93" s="1" t="s">
        <v>9</v>
      </c>
      <c r="C93" s="1">
        <v>21</v>
      </c>
      <c r="D93" s="1" t="s">
        <v>11</v>
      </c>
      <c r="E93" s="1" t="s">
        <v>18</v>
      </c>
      <c r="F93" s="1">
        <v>3071</v>
      </c>
      <c r="G93" s="1">
        <v>50</v>
      </c>
      <c r="H93" s="1">
        <v>2</v>
      </c>
      <c r="I93" s="1" t="s">
        <v>21</v>
      </c>
      <c r="J93" s="1">
        <f t="shared" si="17"/>
        <v>1169.2</v>
      </c>
      <c r="K93" s="1">
        <f t="shared" si="18"/>
        <v>1367028.6400000001</v>
      </c>
    </row>
    <row r="94" spans="1:11" ht="12.75">
      <c r="A94" s="1">
        <v>110</v>
      </c>
      <c r="B94" s="1" t="s">
        <v>9</v>
      </c>
      <c r="C94" s="1">
        <v>31</v>
      </c>
      <c r="D94" s="1" t="s">
        <v>11</v>
      </c>
      <c r="E94" s="1" t="s">
        <v>17</v>
      </c>
      <c r="F94" s="1">
        <v>3134</v>
      </c>
      <c r="G94" s="1">
        <v>44</v>
      </c>
      <c r="H94" s="1">
        <v>3</v>
      </c>
      <c r="I94" s="1">
        <v>1200</v>
      </c>
      <c r="J94" s="1">
        <f t="shared" si="17"/>
        <v>1232.2</v>
      </c>
      <c r="K94" s="1">
        <f t="shared" si="18"/>
        <v>1518316.84</v>
      </c>
    </row>
    <row r="95" spans="1:11" ht="12.75">
      <c r="A95" s="1">
        <v>54</v>
      </c>
      <c r="B95" s="1" t="s">
        <v>8</v>
      </c>
      <c r="C95" s="1">
        <v>15</v>
      </c>
      <c r="D95" s="1" t="s">
        <v>15</v>
      </c>
      <c r="E95" s="1" t="s">
        <v>20</v>
      </c>
      <c r="F95" s="1">
        <v>3221</v>
      </c>
      <c r="G95" s="1">
        <v>54</v>
      </c>
      <c r="H95" s="1">
        <v>2</v>
      </c>
      <c r="I95" s="1">
        <v>200</v>
      </c>
      <c r="J95" s="1">
        <f t="shared" si="17"/>
        <v>1319.2</v>
      </c>
      <c r="K95" s="1">
        <f t="shared" si="18"/>
        <v>1740288.6400000001</v>
      </c>
    </row>
    <row r="96" spans="1:11" ht="12.75">
      <c r="A96" s="1">
        <v>67</v>
      </c>
      <c r="B96" s="1" t="s">
        <v>8</v>
      </c>
      <c r="C96" s="1">
        <v>23</v>
      </c>
      <c r="D96" s="1" t="s">
        <v>11</v>
      </c>
      <c r="E96" s="1" t="s">
        <v>19</v>
      </c>
      <c r="F96" s="1">
        <v>3299</v>
      </c>
      <c r="G96" s="1">
        <v>45</v>
      </c>
      <c r="H96" s="1">
        <v>2</v>
      </c>
      <c r="I96" s="1">
        <v>200</v>
      </c>
      <c r="J96" s="1">
        <f t="shared" si="17"/>
        <v>1397.2</v>
      </c>
      <c r="K96" s="1">
        <f t="shared" si="18"/>
        <v>1952167.84</v>
      </c>
    </row>
    <row r="97" spans="1:11" ht="12.75">
      <c r="A97" s="6">
        <v>100</v>
      </c>
      <c r="B97" s="6" t="s">
        <v>8</v>
      </c>
      <c r="C97" s="6">
        <v>40</v>
      </c>
      <c r="D97" s="6" t="s">
        <v>11</v>
      </c>
      <c r="E97" s="6" t="s">
        <v>19</v>
      </c>
      <c r="F97" s="6">
        <v>3551</v>
      </c>
      <c r="G97" s="6">
        <v>48</v>
      </c>
      <c r="H97" s="6">
        <v>2</v>
      </c>
      <c r="I97" s="6">
        <v>200</v>
      </c>
      <c r="J97" s="1">
        <f t="shared" si="17"/>
        <v>1649.2</v>
      </c>
      <c r="K97" s="1">
        <f t="shared" si="18"/>
        <v>2719860.64</v>
      </c>
    </row>
    <row r="98" spans="1:11" ht="12.75">
      <c r="A98" s="1">
        <v>44</v>
      </c>
      <c r="B98" s="1" t="s">
        <v>9</v>
      </c>
      <c r="C98" s="1">
        <v>18</v>
      </c>
      <c r="D98" s="1" t="s">
        <v>11</v>
      </c>
      <c r="E98" s="1" t="s">
        <v>16</v>
      </c>
      <c r="F98" s="1">
        <v>3657</v>
      </c>
      <c r="G98" s="1">
        <v>43</v>
      </c>
      <c r="H98" s="1">
        <v>2</v>
      </c>
      <c r="I98" s="1">
        <v>1200</v>
      </c>
      <c r="J98" s="1">
        <f t="shared" si="17"/>
        <v>1755.2</v>
      </c>
      <c r="K98" s="1">
        <f t="shared" si="18"/>
        <v>3080727.04</v>
      </c>
    </row>
    <row r="99" spans="1:11" ht="12.75">
      <c r="A99" s="6">
        <v>61</v>
      </c>
      <c r="B99" s="6" t="s">
        <v>9</v>
      </c>
      <c r="C99" s="6">
        <v>22</v>
      </c>
      <c r="D99" s="6" t="s">
        <v>11</v>
      </c>
      <c r="E99" s="6" t="s">
        <v>18</v>
      </c>
      <c r="F99" s="6">
        <v>3708</v>
      </c>
      <c r="G99" s="6">
        <v>50</v>
      </c>
      <c r="H99" s="6">
        <v>2</v>
      </c>
      <c r="I99" s="6">
        <v>800</v>
      </c>
      <c r="J99" s="1">
        <f t="shared" si="17"/>
        <v>1806.2</v>
      </c>
      <c r="K99" s="1">
        <f t="shared" si="18"/>
        <v>3262358.44</v>
      </c>
    </row>
    <row r="100" spans="1:11" ht="12.75">
      <c r="A100" s="1">
        <v>89</v>
      </c>
      <c r="B100" s="1" t="s">
        <v>8</v>
      </c>
      <c r="C100" s="1">
        <v>31</v>
      </c>
      <c r="D100" s="1" t="s">
        <v>11</v>
      </c>
      <c r="E100" s="1" t="s">
        <v>19</v>
      </c>
      <c r="F100" s="1">
        <v>3946</v>
      </c>
      <c r="G100" s="1">
        <v>48</v>
      </c>
      <c r="H100" s="1">
        <v>2</v>
      </c>
      <c r="I100" s="1">
        <v>800</v>
      </c>
      <c r="J100" s="1">
        <f t="shared" si="17"/>
        <v>2044.2</v>
      </c>
      <c r="K100" s="1">
        <f t="shared" si="18"/>
        <v>4178753.64</v>
      </c>
    </row>
    <row r="101" spans="1:11" ht="12.75">
      <c r="A101" s="2">
        <v>2</v>
      </c>
      <c r="B101" s="2" t="s">
        <v>8</v>
      </c>
      <c r="C101" s="2">
        <v>22</v>
      </c>
      <c r="D101" s="2" t="s">
        <v>11</v>
      </c>
      <c r="E101" s="2" t="s">
        <v>17</v>
      </c>
      <c r="F101" s="2">
        <v>4156</v>
      </c>
      <c r="G101" s="2">
        <v>49</v>
      </c>
      <c r="H101" s="2">
        <v>2</v>
      </c>
      <c r="I101" s="2">
        <v>100</v>
      </c>
      <c r="J101" s="1">
        <f t="shared" si="17"/>
        <v>2254.2</v>
      </c>
      <c r="K101" s="1">
        <f t="shared" si="18"/>
        <v>5081417.639999999</v>
      </c>
    </row>
    <row r="102" spans="1:11" ht="12.75">
      <c r="A102" s="1">
        <v>62</v>
      </c>
      <c r="B102" s="1" t="s">
        <v>9</v>
      </c>
      <c r="C102" s="1">
        <v>18</v>
      </c>
      <c r="D102" s="1" t="s">
        <v>11</v>
      </c>
      <c r="E102" s="1" t="s">
        <v>19</v>
      </c>
      <c r="F102" s="1">
        <v>4174</v>
      </c>
      <c r="G102" s="1">
        <v>47</v>
      </c>
      <c r="H102" s="1">
        <v>2</v>
      </c>
      <c r="I102" s="1">
        <v>200</v>
      </c>
      <c r="J102" s="1">
        <f t="shared" si="17"/>
        <v>2272.2</v>
      </c>
      <c r="K102" s="1">
        <f t="shared" si="18"/>
        <v>5162892.839999999</v>
      </c>
    </row>
    <row r="103" spans="1:11" ht="12.75">
      <c r="A103" s="1">
        <v>45</v>
      </c>
      <c r="B103" s="1" t="s">
        <v>9</v>
      </c>
      <c r="C103" s="1">
        <v>28</v>
      </c>
      <c r="D103" s="1" t="s">
        <v>11</v>
      </c>
      <c r="E103" s="1" t="s">
        <v>17</v>
      </c>
      <c r="F103" s="1">
        <v>4260</v>
      </c>
      <c r="G103" s="1">
        <v>42</v>
      </c>
      <c r="H103" s="1">
        <v>1</v>
      </c>
      <c r="I103" s="1">
        <v>100</v>
      </c>
      <c r="J103" s="1">
        <f t="shared" si="17"/>
        <v>2358.2</v>
      </c>
      <c r="K103" s="1">
        <f t="shared" si="18"/>
        <v>5561107.239999999</v>
      </c>
    </row>
    <row r="104" spans="1:11" ht="12.75">
      <c r="A104" s="1">
        <v>22</v>
      </c>
      <c r="B104" s="1" t="s">
        <v>9</v>
      </c>
      <c r="C104" s="1">
        <v>29</v>
      </c>
      <c r="D104" s="1" t="s">
        <v>11</v>
      </c>
      <c r="E104" s="1" t="s">
        <v>17</v>
      </c>
      <c r="F104" s="1">
        <v>4733</v>
      </c>
      <c r="G104" s="1">
        <v>51</v>
      </c>
      <c r="H104" s="1">
        <v>2</v>
      </c>
      <c r="I104" s="1">
        <v>800</v>
      </c>
      <c r="J104" s="1">
        <f t="shared" si="17"/>
        <v>2831.2</v>
      </c>
      <c r="K104" s="1">
        <f t="shared" si="18"/>
        <v>8015693.439999999</v>
      </c>
    </row>
    <row r="105" spans="1:11" ht="12.75">
      <c r="A105" s="1">
        <v>47</v>
      </c>
      <c r="B105" s="1" t="s">
        <v>9</v>
      </c>
      <c r="C105" s="1">
        <v>25</v>
      </c>
      <c r="D105" s="1" t="s">
        <v>11</v>
      </c>
      <c r="E105" s="1" t="s">
        <v>17</v>
      </c>
      <c r="F105" s="1">
        <v>4942</v>
      </c>
      <c r="G105" s="1">
        <v>54</v>
      </c>
      <c r="H105" s="1">
        <v>1</v>
      </c>
      <c r="I105" s="1">
        <v>800</v>
      </c>
      <c r="J105" s="1">
        <f t="shared" si="17"/>
        <v>3040.2</v>
      </c>
      <c r="K105" s="1">
        <f t="shared" si="18"/>
        <v>9242816.04</v>
      </c>
    </row>
    <row r="106" spans="1:11" ht="12.75">
      <c r="A106" s="1">
        <v>65</v>
      </c>
      <c r="B106" s="1" t="s">
        <v>9</v>
      </c>
      <c r="C106" s="1">
        <v>38</v>
      </c>
      <c r="D106" s="1" t="s">
        <v>11</v>
      </c>
      <c r="E106" s="1" t="s">
        <v>17</v>
      </c>
      <c r="F106" s="1">
        <v>4998</v>
      </c>
      <c r="G106" s="1">
        <v>41</v>
      </c>
      <c r="H106" s="1">
        <v>2</v>
      </c>
      <c r="I106" s="1">
        <v>100</v>
      </c>
      <c r="J106" s="1">
        <f t="shared" si="17"/>
        <v>3096.2</v>
      </c>
      <c r="K106" s="1">
        <f t="shared" si="18"/>
        <v>9586454.44</v>
      </c>
    </row>
    <row r="107" spans="1:11" ht="12.75">
      <c r="A107" s="1">
        <v>3</v>
      </c>
      <c r="B107" s="1" t="s">
        <v>9</v>
      </c>
      <c r="C107" s="1">
        <v>31</v>
      </c>
      <c r="D107" s="1" t="s">
        <v>11</v>
      </c>
      <c r="E107" s="1" t="s">
        <v>16</v>
      </c>
      <c r="F107" s="1">
        <v>5034</v>
      </c>
      <c r="G107" s="1">
        <v>49</v>
      </c>
      <c r="H107" s="1">
        <v>1</v>
      </c>
      <c r="I107" s="1">
        <v>400</v>
      </c>
      <c r="J107" s="1">
        <f t="shared" si="17"/>
        <v>3132.2</v>
      </c>
      <c r="K107" s="1">
        <f t="shared" si="18"/>
        <v>9810676.839999998</v>
      </c>
    </row>
    <row r="108" spans="1:11" ht="12.75">
      <c r="A108" s="1">
        <v>25</v>
      </c>
      <c r="B108" s="1" t="s">
        <v>8</v>
      </c>
      <c r="C108" s="1">
        <v>67</v>
      </c>
      <c r="D108" s="1" t="s">
        <v>11</v>
      </c>
      <c r="E108" s="1" t="s">
        <v>17</v>
      </c>
      <c r="F108" s="1">
        <v>5670</v>
      </c>
      <c r="G108" s="1">
        <v>49</v>
      </c>
      <c r="H108" s="1">
        <v>2</v>
      </c>
      <c r="I108" s="1">
        <v>800</v>
      </c>
      <c r="J108" s="1">
        <f t="shared" si="17"/>
        <v>3768.2</v>
      </c>
      <c r="K108" s="1">
        <f t="shared" si="18"/>
        <v>14199331.239999998</v>
      </c>
    </row>
    <row r="109" spans="1:11" ht="12.75">
      <c r="A109" s="1">
        <v>84</v>
      </c>
      <c r="B109" s="1" t="s">
        <v>9</v>
      </c>
      <c r="C109" s="1">
        <v>42</v>
      </c>
      <c r="D109" s="1" t="s">
        <v>11</v>
      </c>
      <c r="E109" s="1" t="s">
        <v>19</v>
      </c>
      <c r="F109" s="1">
        <v>5756</v>
      </c>
      <c r="G109" s="1">
        <v>49</v>
      </c>
      <c r="H109" s="1">
        <v>1</v>
      </c>
      <c r="I109" s="1">
        <v>200</v>
      </c>
      <c r="J109" s="1">
        <f t="shared" si="17"/>
        <v>3854.2</v>
      </c>
      <c r="K109" s="1">
        <f t="shared" si="18"/>
        <v>14854857.639999999</v>
      </c>
    </row>
    <row r="110" spans="1:11" ht="12.75">
      <c r="A110" s="1">
        <v>72</v>
      </c>
      <c r="B110" s="1" t="s">
        <v>9</v>
      </c>
      <c r="C110" s="1">
        <v>20</v>
      </c>
      <c r="D110" s="1" t="s">
        <v>11</v>
      </c>
      <c r="E110" s="1" t="s">
        <v>16</v>
      </c>
      <c r="F110" s="1">
        <v>5867</v>
      </c>
      <c r="G110" s="1">
        <v>48</v>
      </c>
      <c r="H110" s="1">
        <v>2</v>
      </c>
      <c r="I110" s="1">
        <v>200</v>
      </c>
      <c r="J110" s="1">
        <f t="shared" si="17"/>
        <v>3965.2</v>
      </c>
      <c r="K110" s="1">
        <f t="shared" si="18"/>
        <v>15722811.04</v>
      </c>
    </row>
    <row r="111" spans="1:11" ht="12.75">
      <c r="A111" s="6">
        <v>41</v>
      </c>
      <c r="B111" s="6" t="s">
        <v>8</v>
      </c>
      <c r="C111" s="6">
        <v>20</v>
      </c>
      <c r="D111" s="6" t="s">
        <v>11</v>
      </c>
      <c r="E111" s="6" t="s">
        <v>19</v>
      </c>
      <c r="F111" s="6">
        <v>5906</v>
      </c>
      <c r="G111" s="6">
        <v>53</v>
      </c>
      <c r="H111" s="6">
        <v>2</v>
      </c>
      <c r="I111" s="6">
        <v>100</v>
      </c>
      <c r="J111" s="1">
        <f t="shared" si="17"/>
        <v>4004.2</v>
      </c>
      <c r="K111" s="1">
        <f t="shared" si="18"/>
        <v>16033617.639999999</v>
      </c>
    </row>
    <row r="112" spans="6:11" ht="12.75">
      <c r="F112" s="1">
        <f>SUM(F2:F111)</f>
        <v>209198</v>
      </c>
      <c r="G112" s="1">
        <f>SUM(G2:G111)</f>
        <v>5141</v>
      </c>
      <c r="H112" s="1">
        <f>SUM(H2:H111)</f>
        <v>564</v>
      </c>
      <c r="K112" s="1">
        <f>SUM(K2:K111)</f>
        <v>197946803.60000002</v>
      </c>
    </row>
    <row r="113" spans="5:6" ht="12.75">
      <c r="E113" s="1" t="s">
        <v>30</v>
      </c>
      <c r="F113" s="1">
        <f>MIN(F2:F111)</f>
        <v>261</v>
      </c>
    </row>
    <row r="114" spans="5:6" ht="12.75">
      <c r="E114" s="1" t="s">
        <v>31</v>
      </c>
      <c r="F114" s="1">
        <f>MAX(F2:F111)</f>
        <v>5906</v>
      </c>
    </row>
    <row r="115" spans="5:6" ht="12.75">
      <c r="E115" s="1" t="s">
        <v>32</v>
      </c>
      <c r="F115" s="1">
        <f>F114-F113</f>
        <v>5645</v>
      </c>
    </row>
    <row r="116" spans="4:9" ht="12.75">
      <c r="D116" s="21" t="s">
        <v>28</v>
      </c>
      <c r="E116" s="21"/>
      <c r="F116" s="28">
        <f>SQRT(F118)</f>
        <v>19719.552602055282</v>
      </c>
      <c r="G116" s="28">
        <f>SQRT(G118)</f>
        <v>487.9575269223647</v>
      </c>
      <c r="H116" s="28">
        <f>SQRT(H118)</f>
        <v>53.658105825318955</v>
      </c>
      <c r="I116" s="33">
        <f>SQRT(I118)</f>
        <v>363.1864893235371</v>
      </c>
    </row>
    <row r="117" spans="4:9" ht="12.75">
      <c r="D117" s="29" t="s">
        <v>29</v>
      </c>
      <c r="E117" s="29"/>
      <c r="F117" s="30">
        <f>AVERAGE(F5:F114)</f>
        <v>3851.4636363636364</v>
      </c>
      <c r="G117" s="30">
        <f>AVERAGE(G5:G114)</f>
        <v>93.89814814814815</v>
      </c>
      <c r="H117" s="30">
        <f>AVERAGE(H5:H114)</f>
        <v>9.935185185185185</v>
      </c>
      <c r="I117" s="33">
        <f>AVERAGE(I5:I114)</f>
        <v>428.3018867924528</v>
      </c>
    </row>
    <row r="118" spans="4:9" ht="12.75">
      <c r="D118" s="21" t="s">
        <v>27</v>
      </c>
      <c r="E118" s="21"/>
      <c r="F118" s="34">
        <f>VAR(F4:F114)</f>
        <v>388860754.82522523</v>
      </c>
      <c r="G118" s="34">
        <f>VAR(G4:G114)</f>
        <v>238102.5480801903</v>
      </c>
      <c r="H118" s="28">
        <f>VAR(H4:H114)</f>
        <v>2879.192320761128</v>
      </c>
      <c r="I118" s="33">
        <f>VAR(I4:I114)</f>
        <v>131904.4260271557</v>
      </c>
    </row>
  </sheetData>
  <printOptions/>
  <pageMargins left="0.7874015748031497" right="0.7874015748031497" top="0.5905511811023623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6"/>
  <sheetViews>
    <sheetView zoomScale="75" zoomScaleNormal="75" workbookViewId="0" topLeftCell="A1">
      <selection activeCell="AF96" sqref="AF96"/>
    </sheetView>
  </sheetViews>
  <sheetFormatPr defaultColWidth="9.00390625" defaultRowHeight="12.75"/>
  <cols>
    <col min="1" max="1" width="4.75390625" style="21" customWidth="1"/>
    <col min="2" max="2" width="4.375" style="21" customWidth="1"/>
    <col min="3" max="3" width="4.875" style="21" customWidth="1"/>
    <col min="4" max="4" width="19.25390625" style="21" customWidth="1"/>
    <col min="5" max="5" width="13.375" style="21" customWidth="1"/>
    <col min="6" max="6" width="12.875" style="21" customWidth="1"/>
    <col min="7" max="8" width="9.125" style="21" customWidth="1"/>
    <col min="9" max="9" width="12.125" style="31" customWidth="1"/>
    <col min="10" max="10" width="8.25390625" style="29" customWidth="1"/>
    <col min="11" max="11" width="12.125" style="22" customWidth="1"/>
    <col min="12" max="12" width="12.875" style="22" customWidth="1"/>
    <col min="13" max="13" width="9.875" style="22" customWidth="1"/>
    <col min="14" max="14" width="13.375" style="22" customWidth="1"/>
    <col min="15" max="15" width="6.75390625" style="22" customWidth="1"/>
    <col min="16" max="16" width="12.375" style="54" customWidth="1"/>
    <col min="17" max="17" width="13.625" style="37" customWidth="1"/>
    <col min="18" max="18" width="12.25390625" style="21" customWidth="1"/>
    <col min="19" max="19" width="13.375" style="21" customWidth="1"/>
    <col min="20" max="20" width="10.125" style="24" customWidth="1"/>
    <col min="21" max="21" width="16.125" style="24" customWidth="1"/>
    <col min="22" max="22" width="13.125" style="24" customWidth="1"/>
    <col min="23" max="23" width="14.625" style="24" customWidth="1"/>
    <col min="24" max="24" width="13.75390625" style="24" customWidth="1"/>
    <col min="25" max="28" width="9.125" style="24" customWidth="1"/>
    <col min="29" max="16384" width="9.125" style="21" customWidth="1"/>
  </cols>
  <sheetData>
    <row r="1" spans="1:19" ht="38.25" customHeight="1">
      <c r="A1" s="17" t="s">
        <v>12</v>
      </c>
      <c r="B1" s="17" t="s">
        <v>0</v>
      </c>
      <c r="C1" s="18" t="s">
        <v>1</v>
      </c>
      <c r="D1" s="17" t="s">
        <v>2</v>
      </c>
      <c r="E1" s="17" t="s">
        <v>3</v>
      </c>
      <c r="F1" s="17" t="s">
        <v>4</v>
      </c>
      <c r="G1" s="18" t="s">
        <v>5</v>
      </c>
      <c r="H1" s="18" t="s">
        <v>6</v>
      </c>
      <c r="I1" s="19" t="s">
        <v>7</v>
      </c>
      <c r="K1" s="22" t="s">
        <v>135</v>
      </c>
      <c r="L1" s="20" t="s">
        <v>148</v>
      </c>
      <c r="M1" s="20" t="s">
        <v>136</v>
      </c>
      <c r="N1" s="20" t="s">
        <v>148</v>
      </c>
      <c r="O1" s="20"/>
      <c r="P1" s="51" t="s">
        <v>4</v>
      </c>
      <c r="Q1" s="35"/>
      <c r="R1" s="24" t="s">
        <v>33</v>
      </c>
      <c r="S1" s="24" t="s">
        <v>70</v>
      </c>
    </row>
    <row r="2" spans="1:19" ht="12.75">
      <c r="A2" s="22">
        <v>82</v>
      </c>
      <c r="B2" s="22" t="s">
        <v>8</v>
      </c>
      <c r="C2" s="22">
        <v>36</v>
      </c>
      <c r="D2" s="22" t="s">
        <v>13</v>
      </c>
      <c r="E2" s="22" t="s">
        <v>19</v>
      </c>
      <c r="F2" s="22">
        <v>261</v>
      </c>
      <c r="G2" s="22">
        <v>46</v>
      </c>
      <c r="H2" s="22">
        <v>23</v>
      </c>
      <c r="I2" s="23">
        <v>100</v>
      </c>
      <c r="J2" s="20">
        <f>IF(H2&lt;5,5,IF(H2&lt;10,10,IF(H2&lt;15,15,IF(H2&lt;20,20,25))))</f>
        <v>25</v>
      </c>
      <c r="K2" s="20">
        <f>G2*F2</f>
        <v>12006</v>
      </c>
      <c r="L2" s="47">
        <f>((G2-$K$113)^2)*F2</f>
        <v>358.52573149937774</v>
      </c>
      <c r="M2" s="22">
        <f aca="true" t="shared" si="0" ref="M2:M33">F2*H2</f>
        <v>6003</v>
      </c>
      <c r="N2" s="47">
        <f>((H2-$M$113)^2)*F2</f>
        <v>101220.68780870298</v>
      </c>
      <c r="O2" s="47"/>
      <c r="P2" s="51" t="s">
        <v>98</v>
      </c>
      <c r="Q2" s="35">
        <v>29</v>
      </c>
      <c r="R2" s="25">
        <f>SUM(I$2:I$30)/29</f>
        <v>100</v>
      </c>
      <c r="S2" s="25">
        <f aca="true" t="shared" si="1" ref="S2:S7">((R2-$I$114)^2)*Q2</f>
        <v>2484988.4297520667</v>
      </c>
    </row>
    <row r="3" spans="1:20" ht="12.75">
      <c r="A3" s="22">
        <v>55</v>
      </c>
      <c r="B3" s="22" t="s">
        <v>9</v>
      </c>
      <c r="C3" s="22">
        <v>31</v>
      </c>
      <c r="D3" s="22" t="s">
        <v>13</v>
      </c>
      <c r="E3" s="22" t="s">
        <v>18</v>
      </c>
      <c r="F3" s="22">
        <v>287</v>
      </c>
      <c r="G3" s="22">
        <v>42</v>
      </c>
      <c r="H3" s="22">
        <v>20</v>
      </c>
      <c r="I3" s="23">
        <v>100</v>
      </c>
      <c r="J3" s="20">
        <f>IF(H3&lt;5,5,IF(H3&lt;10,10,IF(H3&lt;15,15,IF(H3&lt;20,20,25))))</f>
        <v>25</v>
      </c>
      <c r="K3" s="20">
        <f aca="true" t="shared" si="2" ref="K3:K66">G3*F3</f>
        <v>12054</v>
      </c>
      <c r="L3" s="47">
        <f aca="true" t="shared" si="3" ref="L3:L66">((G3-$K$113)^2)*F3</f>
        <v>7677.229150593056</v>
      </c>
      <c r="M3" s="22">
        <f t="shared" si="0"/>
        <v>5740</v>
      </c>
      <c r="N3" s="47">
        <f aca="true" t="shared" si="4" ref="N3:N66">((H3-$M$113)^2)*F3</f>
        <v>79975.43292390708</v>
      </c>
      <c r="O3" s="47"/>
      <c r="P3" s="51" t="s">
        <v>99</v>
      </c>
      <c r="Q3" s="35">
        <v>44</v>
      </c>
      <c r="R3" s="25">
        <f>SUM(I$31:I$74)/Q3</f>
        <v>263.6363636363636</v>
      </c>
      <c r="S3" s="25">
        <f t="shared" si="1"/>
        <v>733236.363636364</v>
      </c>
      <c r="T3" s="24">
        <v>5</v>
      </c>
    </row>
    <row r="4" spans="1:21" ht="12.75">
      <c r="A4" s="22">
        <v>59</v>
      </c>
      <c r="B4" s="22" t="s">
        <v>8</v>
      </c>
      <c r="C4" s="22">
        <v>48</v>
      </c>
      <c r="D4" s="22" t="s">
        <v>13</v>
      </c>
      <c r="E4" s="22" t="s">
        <v>17</v>
      </c>
      <c r="F4" s="22">
        <v>354</v>
      </c>
      <c r="G4" s="22">
        <v>53</v>
      </c>
      <c r="H4" s="22">
        <v>12</v>
      </c>
      <c r="I4" s="23">
        <v>100</v>
      </c>
      <c r="J4" s="20">
        <f aca="true" t="shared" si="5" ref="J4:J111">IF(H4&lt;5,5,IF(H4&lt;10,10,IF(H4&lt;15,15,IF(H4&lt;20,20,25))))</f>
        <v>15</v>
      </c>
      <c r="K4" s="20">
        <f t="shared" si="2"/>
        <v>18762</v>
      </c>
      <c r="L4" s="47">
        <f t="shared" si="3"/>
        <v>12023.679772846155</v>
      </c>
      <c r="M4" s="22">
        <f t="shared" si="0"/>
        <v>4248</v>
      </c>
      <c r="N4" s="47">
        <f t="shared" si="4"/>
        <v>26751.859939112615</v>
      </c>
      <c r="O4" s="47"/>
      <c r="P4" s="51" t="s">
        <v>100</v>
      </c>
      <c r="Q4" s="35">
        <v>16</v>
      </c>
      <c r="R4" s="25">
        <f>SUM(I$75:I$90)/Q4</f>
        <v>675</v>
      </c>
      <c r="S4" s="25">
        <f t="shared" si="1"/>
        <v>1274846.2809917354</v>
      </c>
      <c r="T4" s="27">
        <v>29</v>
      </c>
      <c r="U4" s="71">
        <f>T4/110</f>
        <v>0.2636363636363636</v>
      </c>
    </row>
    <row r="5" spans="1:21" ht="12.75">
      <c r="A5" s="22">
        <v>91</v>
      </c>
      <c r="B5" s="22" t="s">
        <v>9</v>
      </c>
      <c r="C5" s="22">
        <v>43</v>
      </c>
      <c r="D5" s="22" t="s">
        <v>13</v>
      </c>
      <c r="E5" s="22" t="s">
        <v>16</v>
      </c>
      <c r="F5" s="22">
        <v>392</v>
      </c>
      <c r="G5" s="22">
        <v>44</v>
      </c>
      <c r="H5" s="22">
        <v>18</v>
      </c>
      <c r="I5" s="23">
        <v>100</v>
      </c>
      <c r="J5" s="20">
        <f t="shared" si="5"/>
        <v>20</v>
      </c>
      <c r="K5" s="20">
        <f t="shared" si="2"/>
        <v>17248</v>
      </c>
      <c r="L5" s="47">
        <f t="shared" si="3"/>
        <v>3944.2234754567844</v>
      </c>
      <c r="M5" s="22">
        <f t="shared" si="0"/>
        <v>7056</v>
      </c>
      <c r="N5" s="47">
        <f t="shared" si="4"/>
        <v>84627.93536916116</v>
      </c>
      <c r="O5" s="47"/>
      <c r="P5" s="51" t="s">
        <v>101</v>
      </c>
      <c r="Q5" s="35">
        <v>10</v>
      </c>
      <c r="R5" s="25">
        <f>SUM(I$91:I$101)/Q5</f>
        <v>890</v>
      </c>
      <c r="S5" s="25">
        <f t="shared" si="1"/>
        <v>2472801.6528925616</v>
      </c>
      <c r="T5" s="27">
        <v>60</v>
      </c>
      <c r="U5" s="71">
        <f>T5/110</f>
        <v>0.5454545454545454</v>
      </c>
    </row>
    <row r="6" spans="1:21" ht="12.75">
      <c r="A6" s="22">
        <v>99</v>
      </c>
      <c r="B6" s="22" t="s">
        <v>8</v>
      </c>
      <c r="C6" s="22">
        <v>21</v>
      </c>
      <c r="D6" s="22" t="s">
        <v>14</v>
      </c>
      <c r="E6" s="22" t="s">
        <v>18</v>
      </c>
      <c r="F6" s="22">
        <v>482</v>
      </c>
      <c r="G6" s="22">
        <v>53</v>
      </c>
      <c r="H6" s="22">
        <v>10</v>
      </c>
      <c r="I6" s="23">
        <v>100</v>
      </c>
      <c r="J6" s="20">
        <f t="shared" si="5"/>
        <v>15</v>
      </c>
      <c r="K6" s="20">
        <f t="shared" si="2"/>
        <v>25546</v>
      </c>
      <c r="L6" s="47">
        <f t="shared" si="3"/>
        <v>16371.225001445895</v>
      </c>
      <c r="M6" s="22">
        <f t="shared" si="0"/>
        <v>4820</v>
      </c>
      <c r="N6" s="47">
        <f t="shared" si="4"/>
        <v>21592.52562832341</v>
      </c>
      <c r="O6" s="47"/>
      <c r="P6" s="51" t="s">
        <v>102</v>
      </c>
      <c r="Q6" s="35">
        <v>6</v>
      </c>
      <c r="R6" s="25">
        <f>SUM(I$102:I$106)/Q6</f>
        <v>750</v>
      </c>
      <c r="S6" s="25">
        <f t="shared" si="1"/>
        <v>765862.8099173553</v>
      </c>
      <c r="T6" s="27">
        <v>16</v>
      </c>
      <c r="U6" s="71">
        <f>T6/110</f>
        <v>0.14545454545454545</v>
      </c>
    </row>
    <row r="7" spans="1:21" ht="12.75">
      <c r="A7" s="22">
        <v>96</v>
      </c>
      <c r="B7" s="22" t="s">
        <v>8</v>
      </c>
      <c r="C7" s="22">
        <v>55</v>
      </c>
      <c r="D7" s="22" t="s">
        <v>13</v>
      </c>
      <c r="E7" s="22" t="s">
        <v>17</v>
      </c>
      <c r="F7" s="22">
        <v>503</v>
      </c>
      <c r="G7" s="22">
        <v>47</v>
      </c>
      <c r="H7" s="22">
        <v>14</v>
      </c>
      <c r="I7" s="23">
        <v>100</v>
      </c>
      <c r="J7" s="20">
        <f t="shared" si="5"/>
        <v>15</v>
      </c>
      <c r="K7" s="20">
        <f t="shared" si="2"/>
        <v>23641</v>
      </c>
      <c r="L7" s="47">
        <f t="shared" si="3"/>
        <v>14.88649608047384</v>
      </c>
      <c r="M7" s="22">
        <f t="shared" si="0"/>
        <v>7042</v>
      </c>
      <c r="N7" s="47">
        <f t="shared" si="4"/>
        <v>57514.368352003614</v>
      </c>
      <c r="O7" s="47"/>
      <c r="P7" s="51" t="s">
        <v>103</v>
      </c>
      <c r="Q7" s="35">
        <v>5</v>
      </c>
      <c r="R7" s="25">
        <f>SUM(I$107:I$111)/Q7</f>
        <v>900</v>
      </c>
      <c r="S7" s="25">
        <f t="shared" si="1"/>
        <v>1286628.0991735538</v>
      </c>
      <c r="T7" s="27">
        <v>5</v>
      </c>
      <c r="U7" s="71">
        <f>T7/110</f>
        <v>0.045454545454545456</v>
      </c>
    </row>
    <row r="8" spans="1:20" ht="12.75">
      <c r="A8" s="22">
        <v>66</v>
      </c>
      <c r="B8" s="22" t="s">
        <v>9</v>
      </c>
      <c r="C8" s="22">
        <v>32</v>
      </c>
      <c r="D8" s="22" t="s">
        <v>10</v>
      </c>
      <c r="E8" s="22" t="s">
        <v>16</v>
      </c>
      <c r="F8" s="22">
        <v>516</v>
      </c>
      <c r="G8" s="22">
        <v>42</v>
      </c>
      <c r="H8" s="22">
        <v>8</v>
      </c>
      <c r="I8" s="23">
        <v>100</v>
      </c>
      <c r="J8" s="20">
        <f t="shared" si="5"/>
        <v>10</v>
      </c>
      <c r="K8" s="20">
        <f t="shared" si="2"/>
        <v>21672</v>
      </c>
      <c r="L8" s="47">
        <f t="shared" si="3"/>
        <v>13802.962514655112</v>
      </c>
      <c r="M8" s="22">
        <f t="shared" si="0"/>
        <v>4128</v>
      </c>
      <c r="N8" s="47">
        <f t="shared" si="4"/>
        <v>11365.06316412052</v>
      </c>
      <c r="O8" s="47"/>
      <c r="P8" s="51"/>
      <c r="Q8" s="35">
        <f>SUM(Q2:Q7)</f>
        <v>110</v>
      </c>
      <c r="R8" s="24" t="s">
        <v>72</v>
      </c>
      <c r="S8" s="25">
        <f>SUM(S2:S7)</f>
        <v>9018363.636363637</v>
      </c>
      <c r="T8" s="27"/>
    </row>
    <row r="9" spans="1:20" ht="12.75">
      <c r="A9" s="22">
        <v>32</v>
      </c>
      <c r="B9" s="22" t="s">
        <v>9</v>
      </c>
      <c r="C9" s="22">
        <v>26</v>
      </c>
      <c r="D9" s="22" t="s">
        <v>13</v>
      </c>
      <c r="E9" s="22" t="s">
        <v>19</v>
      </c>
      <c r="F9" s="22">
        <v>579</v>
      </c>
      <c r="G9" s="22">
        <v>44</v>
      </c>
      <c r="H9" s="22">
        <v>8</v>
      </c>
      <c r="I9" s="23">
        <v>100</v>
      </c>
      <c r="J9" s="20">
        <f t="shared" si="5"/>
        <v>10</v>
      </c>
      <c r="K9" s="20">
        <f t="shared" si="2"/>
        <v>25476</v>
      </c>
      <c r="L9" s="47">
        <f t="shared" si="3"/>
        <v>5825.779061962954</v>
      </c>
      <c r="M9" s="22">
        <f t="shared" si="0"/>
        <v>4632</v>
      </c>
      <c r="N9" s="47">
        <f t="shared" si="4"/>
        <v>12752.658085321282</v>
      </c>
      <c r="O9" s="47"/>
      <c r="P9" s="51"/>
      <c r="Q9" s="35"/>
      <c r="R9" s="24" t="s">
        <v>71</v>
      </c>
      <c r="S9" s="24">
        <f>S8/110</f>
        <v>81985.12396694215</v>
      </c>
      <c r="T9" s="27"/>
    </row>
    <row r="10" spans="1:19" ht="12.75">
      <c r="A10" s="22">
        <v>11</v>
      </c>
      <c r="B10" s="22" t="s">
        <v>8</v>
      </c>
      <c r="C10" s="22">
        <v>21</v>
      </c>
      <c r="D10" s="22" t="s">
        <v>14</v>
      </c>
      <c r="E10" s="22" t="s">
        <v>18</v>
      </c>
      <c r="F10" s="22">
        <v>581</v>
      </c>
      <c r="G10" s="22">
        <v>43</v>
      </c>
      <c r="H10" s="22">
        <v>13</v>
      </c>
      <c r="I10" s="23">
        <v>100</v>
      </c>
      <c r="J10" s="20">
        <f t="shared" si="5"/>
        <v>15</v>
      </c>
      <c r="K10" s="20">
        <f t="shared" si="2"/>
        <v>24983</v>
      </c>
      <c r="L10" s="47">
        <f t="shared" si="3"/>
        <v>10112.805221893721</v>
      </c>
      <c r="M10" s="22">
        <f t="shared" si="0"/>
        <v>7553</v>
      </c>
      <c r="N10" s="47">
        <f t="shared" si="4"/>
        <v>54588.699319944964</v>
      </c>
      <c r="O10" s="47"/>
      <c r="P10" s="36"/>
      <c r="Q10" s="36"/>
      <c r="R10" s="17" t="s">
        <v>73</v>
      </c>
      <c r="S10" s="17">
        <f>SQRT(S9/$I$117)</f>
        <v>0.945210004835111</v>
      </c>
    </row>
    <row r="11" spans="1:19" ht="12.75">
      <c r="A11" s="17">
        <v>7</v>
      </c>
      <c r="B11" s="17" t="s">
        <v>8</v>
      </c>
      <c r="C11" s="17">
        <v>33</v>
      </c>
      <c r="D11" s="17" t="s">
        <v>10</v>
      </c>
      <c r="E11" s="17" t="s">
        <v>17</v>
      </c>
      <c r="F11" s="17">
        <v>612</v>
      </c>
      <c r="G11" s="17">
        <v>45</v>
      </c>
      <c r="H11" s="17">
        <v>10</v>
      </c>
      <c r="I11" s="26">
        <v>100</v>
      </c>
      <c r="J11" s="20">
        <f t="shared" si="5"/>
        <v>15</v>
      </c>
      <c r="K11" s="20">
        <f t="shared" si="2"/>
        <v>27540</v>
      </c>
      <c r="L11" s="47">
        <f t="shared" si="3"/>
        <v>2887.2496543479247</v>
      </c>
      <c r="M11" s="22">
        <f t="shared" si="0"/>
        <v>6120</v>
      </c>
      <c r="N11" s="47">
        <f t="shared" si="4"/>
        <v>27416.23586002889</v>
      </c>
      <c r="O11" s="47"/>
      <c r="P11" s="51" t="s">
        <v>1</v>
      </c>
      <c r="Q11" s="35"/>
      <c r="R11" s="24" t="s">
        <v>33</v>
      </c>
      <c r="S11" s="24" t="s">
        <v>70</v>
      </c>
    </row>
    <row r="12" spans="1:19" ht="12.75">
      <c r="A12" s="22">
        <v>26</v>
      </c>
      <c r="B12" s="22" t="s">
        <v>8</v>
      </c>
      <c r="C12" s="22">
        <v>34</v>
      </c>
      <c r="D12" s="22" t="s">
        <v>13</v>
      </c>
      <c r="E12" s="22" t="s">
        <v>18</v>
      </c>
      <c r="F12" s="22">
        <v>763</v>
      </c>
      <c r="G12" s="22">
        <v>51</v>
      </c>
      <c r="H12" s="22">
        <v>8</v>
      </c>
      <c r="I12" s="23">
        <v>100</v>
      </c>
      <c r="J12" s="20">
        <f t="shared" si="5"/>
        <v>10</v>
      </c>
      <c r="K12" s="20">
        <f t="shared" si="2"/>
        <v>38913</v>
      </c>
      <c r="L12" s="47">
        <f t="shared" si="3"/>
        <v>11180.490692466734</v>
      </c>
      <c r="M12" s="22">
        <f t="shared" si="0"/>
        <v>6104</v>
      </c>
      <c r="N12" s="47">
        <f t="shared" si="4"/>
        <v>16805.316267875885</v>
      </c>
      <c r="O12" s="47"/>
      <c r="P12" s="51" t="s">
        <v>74</v>
      </c>
      <c r="Q12" s="35">
        <v>11</v>
      </c>
      <c r="R12" s="25">
        <f>SUM(I2:I12)/Q12</f>
        <v>100</v>
      </c>
      <c r="S12" s="25">
        <f aca="true" t="shared" si="6" ref="S12:S17">((R12-$I$114)^2)*Q12</f>
        <v>942581.8181818184</v>
      </c>
    </row>
    <row r="13" spans="1:19" ht="12.75">
      <c r="A13" s="22">
        <v>36</v>
      </c>
      <c r="B13" s="22" t="s">
        <v>8</v>
      </c>
      <c r="C13" s="22">
        <v>30</v>
      </c>
      <c r="D13" s="22" t="s">
        <v>10</v>
      </c>
      <c r="E13" s="22" t="s">
        <v>17</v>
      </c>
      <c r="F13" s="22">
        <v>894</v>
      </c>
      <c r="G13" s="22">
        <v>52</v>
      </c>
      <c r="H13" s="22">
        <v>7</v>
      </c>
      <c r="I13" s="23">
        <v>100</v>
      </c>
      <c r="J13" s="20">
        <f t="shared" si="5"/>
        <v>10</v>
      </c>
      <c r="K13" s="20">
        <f t="shared" si="2"/>
        <v>46488</v>
      </c>
      <c r="L13" s="47">
        <f t="shared" si="3"/>
        <v>20838.481555861246</v>
      </c>
      <c r="M13" s="22">
        <f t="shared" si="0"/>
        <v>6258</v>
      </c>
      <c r="N13" s="47">
        <f t="shared" si="4"/>
        <v>12193.345394123395</v>
      </c>
      <c r="O13" s="47"/>
      <c r="P13" s="51" t="s">
        <v>106</v>
      </c>
      <c r="Q13" s="35">
        <v>46</v>
      </c>
      <c r="R13" s="25">
        <f>SUM(I13:I58)/Q13</f>
        <v>152.17391304347825</v>
      </c>
      <c r="S13" s="25">
        <f t="shared" si="6"/>
        <v>2661832.267337406</v>
      </c>
    </row>
    <row r="14" spans="1:19" ht="12.75">
      <c r="A14" s="22">
        <v>52</v>
      </c>
      <c r="B14" s="22" t="s">
        <v>8</v>
      </c>
      <c r="C14" s="22">
        <v>35</v>
      </c>
      <c r="D14" s="22" t="s">
        <v>13</v>
      </c>
      <c r="E14" s="22" t="s">
        <v>16</v>
      </c>
      <c r="F14" s="22">
        <v>971</v>
      </c>
      <c r="G14" s="22">
        <v>45</v>
      </c>
      <c r="H14" s="22">
        <v>7</v>
      </c>
      <c r="I14" s="23">
        <v>100</v>
      </c>
      <c r="J14" s="20">
        <f t="shared" si="5"/>
        <v>10</v>
      </c>
      <c r="K14" s="20">
        <f t="shared" si="2"/>
        <v>43695</v>
      </c>
      <c r="L14" s="47">
        <f t="shared" si="3"/>
        <v>4580.914075770972</v>
      </c>
      <c r="M14" s="22">
        <f t="shared" si="0"/>
        <v>6797</v>
      </c>
      <c r="N14" s="47">
        <f t="shared" si="4"/>
        <v>13243.555232319704</v>
      </c>
      <c r="O14" s="47"/>
      <c r="P14" s="51" t="s">
        <v>107</v>
      </c>
      <c r="Q14" s="35">
        <v>35</v>
      </c>
      <c r="R14" s="25">
        <f>SUM(I59:I93)/Q14</f>
        <v>560</v>
      </c>
      <c r="S14" s="25">
        <f t="shared" si="6"/>
        <v>979305.7851239666</v>
      </c>
    </row>
    <row r="15" spans="1:19" ht="12.75">
      <c r="A15" s="22">
        <v>87</v>
      </c>
      <c r="B15" s="22" t="s">
        <v>8</v>
      </c>
      <c r="C15" s="22">
        <v>30</v>
      </c>
      <c r="D15" s="22" t="s">
        <v>10</v>
      </c>
      <c r="E15" s="22" t="s">
        <v>16</v>
      </c>
      <c r="F15" s="22">
        <v>994</v>
      </c>
      <c r="G15" s="22">
        <v>50</v>
      </c>
      <c r="H15" s="22">
        <v>6</v>
      </c>
      <c r="I15" s="23">
        <v>100</v>
      </c>
      <c r="J15" s="20">
        <f t="shared" si="5"/>
        <v>10</v>
      </c>
      <c r="K15" s="20">
        <f t="shared" si="2"/>
        <v>49700</v>
      </c>
      <c r="L15" s="47">
        <f t="shared" si="3"/>
        <v>7949.4118814850435</v>
      </c>
      <c r="M15" s="22">
        <f t="shared" si="0"/>
        <v>5964</v>
      </c>
      <c r="N15" s="47">
        <f t="shared" si="4"/>
        <v>7209.344237516968</v>
      </c>
      <c r="O15" s="47"/>
      <c r="P15" s="51" t="s">
        <v>108</v>
      </c>
      <c r="Q15" s="35">
        <v>10</v>
      </c>
      <c r="R15" s="25">
        <f>SUM(I97:I103)/Q15</f>
        <v>590</v>
      </c>
      <c r="S15" s="25">
        <f t="shared" si="6"/>
        <v>389165.2892561982</v>
      </c>
    </row>
    <row r="16" spans="1:19" ht="12.75">
      <c r="A16" s="22">
        <v>30</v>
      </c>
      <c r="B16" s="22" t="s">
        <v>9</v>
      </c>
      <c r="C16" s="22">
        <v>37</v>
      </c>
      <c r="D16" s="22" t="s">
        <v>13</v>
      </c>
      <c r="E16" s="22" t="s">
        <v>19</v>
      </c>
      <c r="F16" s="22">
        <v>996</v>
      </c>
      <c r="G16" s="22">
        <v>46</v>
      </c>
      <c r="H16" s="22">
        <v>5</v>
      </c>
      <c r="I16" s="23">
        <v>100</v>
      </c>
      <c r="J16" s="20">
        <f t="shared" si="5"/>
        <v>10</v>
      </c>
      <c r="K16" s="20">
        <f t="shared" si="2"/>
        <v>45816</v>
      </c>
      <c r="L16" s="47">
        <f t="shared" si="3"/>
        <v>1368.1671592849816</v>
      </c>
      <c r="M16" s="22">
        <f t="shared" si="0"/>
        <v>4980</v>
      </c>
      <c r="N16" s="47">
        <f t="shared" si="4"/>
        <v>2855.1674681444356</v>
      </c>
      <c r="O16" s="47"/>
      <c r="P16" s="51" t="s">
        <v>109</v>
      </c>
      <c r="Q16" s="35">
        <v>4</v>
      </c>
      <c r="R16" s="25">
        <f>SUM(I104:I107)/Q16</f>
        <v>900</v>
      </c>
      <c r="S16" s="25">
        <f t="shared" si="6"/>
        <v>1029302.4793388429</v>
      </c>
    </row>
    <row r="17" spans="1:19" ht="12.75">
      <c r="A17" s="22">
        <v>107</v>
      </c>
      <c r="B17" s="22" t="s">
        <v>9</v>
      </c>
      <c r="C17" s="22">
        <v>23</v>
      </c>
      <c r="D17" s="22" t="s">
        <v>13</v>
      </c>
      <c r="E17" s="22" t="s">
        <v>16</v>
      </c>
      <c r="F17" s="22">
        <v>1015</v>
      </c>
      <c r="G17" s="22">
        <v>49</v>
      </c>
      <c r="H17" s="22">
        <v>6</v>
      </c>
      <c r="I17" s="23">
        <v>100</v>
      </c>
      <c r="J17" s="20">
        <f t="shared" si="5"/>
        <v>10</v>
      </c>
      <c r="K17" s="20">
        <f t="shared" si="2"/>
        <v>49735</v>
      </c>
      <c r="L17" s="47">
        <f t="shared" si="3"/>
        <v>3391.584585595824</v>
      </c>
      <c r="M17" s="22">
        <f t="shared" si="0"/>
        <v>6090</v>
      </c>
      <c r="N17" s="47">
        <f t="shared" si="4"/>
        <v>7361.654327041974</v>
      </c>
      <c r="O17" s="47"/>
      <c r="P17" s="51" t="s">
        <v>110</v>
      </c>
      <c r="Q17" s="35">
        <v>4</v>
      </c>
      <c r="R17" s="25">
        <f>SUM(I107:I111)/Q17</f>
        <v>1125</v>
      </c>
      <c r="S17" s="25">
        <f t="shared" si="6"/>
        <v>2144893.388429752</v>
      </c>
    </row>
    <row r="18" spans="1:19" ht="12.75">
      <c r="A18" s="22">
        <v>57</v>
      </c>
      <c r="B18" s="22" t="s">
        <v>9</v>
      </c>
      <c r="C18" s="22">
        <v>25</v>
      </c>
      <c r="D18" s="22" t="s">
        <v>10</v>
      </c>
      <c r="E18" s="22" t="s">
        <v>16</v>
      </c>
      <c r="F18" s="22">
        <v>1082</v>
      </c>
      <c r="G18" s="22">
        <v>46</v>
      </c>
      <c r="H18" s="22">
        <v>6</v>
      </c>
      <c r="I18" s="23">
        <v>100</v>
      </c>
      <c r="J18" s="20">
        <f t="shared" si="5"/>
        <v>10</v>
      </c>
      <c r="K18" s="20">
        <f t="shared" si="2"/>
        <v>49772</v>
      </c>
      <c r="L18" s="47">
        <f t="shared" si="3"/>
        <v>1486.30207464493</v>
      </c>
      <c r="M18" s="22">
        <f t="shared" si="0"/>
        <v>6492</v>
      </c>
      <c r="N18" s="47">
        <f t="shared" si="4"/>
        <v>7847.596041240804</v>
      </c>
      <c r="O18" s="47"/>
      <c r="P18" s="51"/>
      <c r="Q18" s="35">
        <f>SUM(Q12:Q17)</f>
        <v>110</v>
      </c>
      <c r="R18" s="24" t="s">
        <v>72</v>
      </c>
      <c r="S18" s="25">
        <f>SUM(S12:S17)</f>
        <v>8147081.027667984</v>
      </c>
    </row>
    <row r="19" spans="1:19" ht="12.75">
      <c r="A19" s="22">
        <v>18</v>
      </c>
      <c r="B19" s="22" t="s">
        <v>8</v>
      </c>
      <c r="C19" s="22">
        <v>39</v>
      </c>
      <c r="D19" s="22" t="s">
        <v>13</v>
      </c>
      <c r="E19" s="22" t="s">
        <v>16</v>
      </c>
      <c r="F19" s="22">
        <v>1117</v>
      </c>
      <c r="G19" s="22">
        <v>52</v>
      </c>
      <c r="H19" s="22">
        <v>4</v>
      </c>
      <c r="I19" s="23">
        <v>100</v>
      </c>
      <c r="J19" s="20">
        <f t="shared" si="5"/>
        <v>5</v>
      </c>
      <c r="K19" s="20">
        <f t="shared" si="2"/>
        <v>58084</v>
      </c>
      <c r="L19" s="47">
        <f t="shared" si="3"/>
        <v>26036.447313083907</v>
      </c>
      <c r="M19" s="22">
        <f t="shared" si="0"/>
        <v>4468</v>
      </c>
      <c r="N19" s="47">
        <f t="shared" si="4"/>
        <v>536.6141748467041</v>
      </c>
      <c r="O19" s="47"/>
      <c r="P19" s="51"/>
      <c r="Q19" s="35"/>
      <c r="R19" s="24" t="s">
        <v>71</v>
      </c>
      <c r="S19" s="24">
        <f>S18/110</f>
        <v>74064.37297879986</v>
      </c>
    </row>
    <row r="20" spans="1:19" ht="12.75">
      <c r="A20" s="22">
        <v>42</v>
      </c>
      <c r="B20" s="22" t="s">
        <v>8</v>
      </c>
      <c r="C20" s="22">
        <v>18</v>
      </c>
      <c r="D20" s="22" t="s">
        <v>13</v>
      </c>
      <c r="E20" s="22" t="s">
        <v>16</v>
      </c>
      <c r="F20" s="22">
        <v>1187</v>
      </c>
      <c r="G20" s="22">
        <v>46</v>
      </c>
      <c r="H20" s="22">
        <v>4</v>
      </c>
      <c r="I20" s="23">
        <v>100</v>
      </c>
      <c r="J20" s="20">
        <f t="shared" si="5"/>
        <v>5</v>
      </c>
      <c r="K20" s="20">
        <f t="shared" si="2"/>
        <v>54602</v>
      </c>
      <c r="L20" s="47">
        <f t="shared" si="3"/>
        <v>1630.5365643285875</v>
      </c>
      <c r="M20" s="22">
        <f t="shared" si="0"/>
        <v>4748</v>
      </c>
      <c r="N20" s="47">
        <f t="shared" si="4"/>
        <v>570.2426370125673</v>
      </c>
      <c r="O20" s="47"/>
      <c r="P20" s="36"/>
      <c r="Q20" s="36"/>
      <c r="R20" s="17" t="s">
        <v>73</v>
      </c>
      <c r="S20" s="17">
        <f>SQRT(S19/$I$117)</f>
        <v>0.8983911318675089</v>
      </c>
    </row>
    <row r="21" spans="1:19" ht="12.75">
      <c r="A21" s="17">
        <v>80</v>
      </c>
      <c r="B21" s="17" t="s">
        <v>9</v>
      </c>
      <c r="C21" s="17">
        <v>25</v>
      </c>
      <c r="D21" s="17" t="s">
        <v>10</v>
      </c>
      <c r="E21" s="17" t="s">
        <v>17</v>
      </c>
      <c r="F21" s="17">
        <v>1217</v>
      </c>
      <c r="G21" s="17">
        <v>44</v>
      </c>
      <c r="H21" s="17">
        <v>4</v>
      </c>
      <c r="I21" s="26">
        <v>100</v>
      </c>
      <c r="J21" s="20">
        <f t="shared" si="5"/>
        <v>5</v>
      </c>
      <c r="K21" s="20">
        <f t="shared" si="2"/>
        <v>53548</v>
      </c>
      <c r="L21" s="47">
        <f t="shared" si="3"/>
        <v>12245.204004160476</v>
      </c>
      <c r="M21" s="22">
        <f t="shared" si="0"/>
        <v>4868</v>
      </c>
      <c r="N21" s="47">
        <f t="shared" si="4"/>
        <v>584.6548350836516</v>
      </c>
      <c r="O21" s="47"/>
      <c r="P21" s="51" t="s">
        <v>5</v>
      </c>
      <c r="Q21" s="35"/>
      <c r="R21" s="24" t="s">
        <v>33</v>
      </c>
      <c r="S21" s="24" t="s">
        <v>70</v>
      </c>
    </row>
    <row r="22" spans="1:19" ht="12.75">
      <c r="A22" s="22">
        <v>79</v>
      </c>
      <c r="B22" s="22" t="s">
        <v>8</v>
      </c>
      <c r="C22" s="22">
        <v>17</v>
      </c>
      <c r="D22" s="22" t="s">
        <v>13</v>
      </c>
      <c r="E22" s="22" t="s">
        <v>16</v>
      </c>
      <c r="F22" s="22">
        <v>1460</v>
      </c>
      <c r="G22" s="22">
        <v>44</v>
      </c>
      <c r="H22" s="22">
        <v>3</v>
      </c>
      <c r="I22" s="23">
        <v>100</v>
      </c>
      <c r="J22" s="20">
        <f t="shared" si="5"/>
        <v>5</v>
      </c>
      <c r="K22" s="20">
        <f t="shared" si="2"/>
        <v>64240</v>
      </c>
      <c r="L22" s="47">
        <f t="shared" si="3"/>
        <v>14690.220087160471</v>
      </c>
      <c r="M22" s="22">
        <f t="shared" si="0"/>
        <v>4380</v>
      </c>
      <c r="N22" s="47">
        <f t="shared" si="4"/>
        <v>137.50163284369194</v>
      </c>
      <c r="O22" s="47"/>
      <c r="P22" s="51" t="s">
        <v>75</v>
      </c>
      <c r="Q22" s="35">
        <v>14</v>
      </c>
      <c r="R22" s="25">
        <f>SUM(I2:I15)/Q22</f>
        <v>100</v>
      </c>
      <c r="S22" s="25">
        <f>((R22-$I$114)^2)*Q22</f>
        <v>1199649.5867768598</v>
      </c>
    </row>
    <row r="23" spans="1:19" ht="12.75">
      <c r="A23" s="22">
        <v>1</v>
      </c>
      <c r="B23" s="22" t="s">
        <v>8</v>
      </c>
      <c r="C23" s="22">
        <v>55</v>
      </c>
      <c r="D23" s="22" t="s">
        <v>10</v>
      </c>
      <c r="E23" s="22" t="s">
        <v>16</v>
      </c>
      <c r="F23" s="22">
        <v>1547</v>
      </c>
      <c r="G23" s="22">
        <v>46</v>
      </c>
      <c r="H23" s="22">
        <v>3</v>
      </c>
      <c r="I23" s="23">
        <v>100</v>
      </c>
      <c r="J23" s="20">
        <f t="shared" si="5"/>
        <v>5</v>
      </c>
      <c r="K23" s="20">
        <f t="shared" si="2"/>
        <v>71162</v>
      </c>
      <c r="L23" s="47">
        <f t="shared" si="3"/>
        <v>2125.054814672557</v>
      </c>
      <c r="M23" s="22">
        <f t="shared" si="0"/>
        <v>4641</v>
      </c>
      <c r="N23" s="47">
        <f t="shared" si="4"/>
        <v>145.69522329396673</v>
      </c>
      <c r="O23" s="47"/>
      <c r="P23" s="51" t="s">
        <v>58</v>
      </c>
      <c r="Q23" s="35">
        <v>16</v>
      </c>
      <c r="R23" s="25">
        <f>SUM(I16:I31)/Q23</f>
        <v>100</v>
      </c>
      <c r="S23" s="25">
        <f aca="true" t="shared" si="7" ref="S23:S29">((R23-$I$114)^2)*Q23</f>
        <v>1371028.099173554</v>
      </c>
    </row>
    <row r="24" spans="1:19" ht="12.75">
      <c r="A24" s="22">
        <v>70</v>
      </c>
      <c r="B24" s="22" t="s">
        <v>8</v>
      </c>
      <c r="C24" s="22">
        <v>28</v>
      </c>
      <c r="D24" s="22" t="s">
        <v>10</v>
      </c>
      <c r="E24" s="22" t="s">
        <v>16</v>
      </c>
      <c r="F24" s="22">
        <v>1773</v>
      </c>
      <c r="G24" s="22">
        <v>48</v>
      </c>
      <c r="H24" s="22">
        <v>3</v>
      </c>
      <c r="I24" s="23">
        <v>100</v>
      </c>
      <c r="J24" s="20">
        <f t="shared" si="5"/>
        <v>5</v>
      </c>
      <c r="K24" s="20">
        <f t="shared" si="2"/>
        <v>85104</v>
      </c>
      <c r="L24" s="47">
        <f t="shared" si="3"/>
        <v>1215.4429751103455</v>
      </c>
      <c r="M24" s="22">
        <f t="shared" si="0"/>
        <v>5319</v>
      </c>
      <c r="N24" s="47">
        <f t="shared" si="4"/>
        <v>166.97972262456562</v>
      </c>
      <c r="O24" s="47"/>
      <c r="P24" s="51" t="s">
        <v>60</v>
      </c>
      <c r="Q24" s="35">
        <v>19</v>
      </c>
      <c r="R24" s="25">
        <f>SUM(I32:I50)/Q24</f>
        <v>173.68421052631578</v>
      </c>
      <c r="S24" s="25">
        <f t="shared" si="7"/>
        <v>911617.3988690738</v>
      </c>
    </row>
    <row r="25" spans="1:19" ht="12.75">
      <c r="A25" s="22">
        <v>5</v>
      </c>
      <c r="B25" s="22" t="s">
        <v>9</v>
      </c>
      <c r="C25" s="22">
        <v>35</v>
      </c>
      <c r="D25" s="22" t="s">
        <v>10</v>
      </c>
      <c r="E25" s="22" t="s">
        <v>16</v>
      </c>
      <c r="F25" s="22">
        <v>1930</v>
      </c>
      <c r="G25" s="22">
        <v>42</v>
      </c>
      <c r="H25" s="22">
        <v>4</v>
      </c>
      <c r="I25" s="23">
        <v>100</v>
      </c>
      <c r="J25" s="20">
        <f t="shared" si="5"/>
        <v>5</v>
      </c>
      <c r="K25" s="20">
        <f t="shared" si="2"/>
        <v>81060</v>
      </c>
      <c r="L25" s="47">
        <f t="shared" si="3"/>
        <v>51627.359793186755</v>
      </c>
      <c r="M25" s="22">
        <f t="shared" si="0"/>
        <v>7720</v>
      </c>
      <c r="N25" s="47">
        <f t="shared" si="4"/>
        <v>927.1847425730876</v>
      </c>
      <c r="O25" s="47"/>
      <c r="P25" s="51" t="s">
        <v>61</v>
      </c>
      <c r="Q25" s="35">
        <v>15</v>
      </c>
      <c r="R25" s="25">
        <f>SUM(I51:I65)/Q25</f>
        <v>306.6666666666667</v>
      </c>
      <c r="S25" s="25">
        <f t="shared" si="7"/>
        <v>111096.41873278237</v>
      </c>
    </row>
    <row r="26" spans="1:19" ht="12.75">
      <c r="A26" s="22">
        <v>38</v>
      </c>
      <c r="B26" s="22" t="s">
        <v>9</v>
      </c>
      <c r="C26" s="22">
        <v>68</v>
      </c>
      <c r="D26" s="22" t="s">
        <v>11</v>
      </c>
      <c r="E26" s="22" t="s">
        <v>18</v>
      </c>
      <c r="F26" s="22">
        <v>2046</v>
      </c>
      <c r="G26" s="22">
        <v>42</v>
      </c>
      <c r="H26" s="22">
        <v>3</v>
      </c>
      <c r="I26" s="23">
        <v>100</v>
      </c>
      <c r="J26" s="20">
        <f t="shared" si="5"/>
        <v>5</v>
      </c>
      <c r="K26" s="20">
        <f t="shared" si="2"/>
        <v>85932</v>
      </c>
      <c r="L26" s="47">
        <f t="shared" si="3"/>
        <v>54730.35136624875</v>
      </c>
      <c r="M26" s="22">
        <f t="shared" si="0"/>
        <v>6138</v>
      </c>
      <c r="N26" s="47">
        <f t="shared" si="4"/>
        <v>192.69064438232445</v>
      </c>
      <c r="O26" s="47"/>
      <c r="P26" s="51" t="s">
        <v>62</v>
      </c>
      <c r="Q26" s="35">
        <v>13</v>
      </c>
      <c r="R26" s="25">
        <f>SUM(I66:I78)/Q26</f>
        <v>400</v>
      </c>
      <c r="S26" s="25">
        <f t="shared" si="7"/>
        <v>687.60330578512</v>
      </c>
    </row>
    <row r="27" spans="1:19" ht="12.75">
      <c r="A27" s="22">
        <v>101</v>
      </c>
      <c r="B27" s="22" t="s">
        <v>9</v>
      </c>
      <c r="C27" s="22">
        <v>27</v>
      </c>
      <c r="D27" s="22" t="s">
        <v>11</v>
      </c>
      <c r="E27" s="22" t="s">
        <v>16</v>
      </c>
      <c r="F27" s="22">
        <v>2142</v>
      </c>
      <c r="G27" s="22">
        <v>46</v>
      </c>
      <c r="H27" s="22">
        <v>3</v>
      </c>
      <c r="I27" s="23">
        <v>100</v>
      </c>
      <c r="J27" s="20">
        <f t="shared" si="5"/>
        <v>5</v>
      </c>
      <c r="K27" s="20">
        <f t="shared" si="2"/>
        <v>98532</v>
      </c>
      <c r="L27" s="47">
        <f t="shared" si="3"/>
        <v>2942.3835895466173</v>
      </c>
      <c r="M27" s="22">
        <f t="shared" si="0"/>
        <v>6426</v>
      </c>
      <c r="N27" s="47">
        <f t="shared" si="4"/>
        <v>201.7318476378001</v>
      </c>
      <c r="O27" s="47"/>
      <c r="P27" s="51" t="s">
        <v>63</v>
      </c>
      <c r="Q27" s="35">
        <v>11</v>
      </c>
      <c r="R27" s="25">
        <f>SUM(I79:I89)/Q27</f>
        <v>763.6363636363636</v>
      </c>
      <c r="S27" s="25">
        <f t="shared" si="7"/>
        <v>1513309.0909090908</v>
      </c>
    </row>
    <row r="28" spans="1:19" ht="12.75">
      <c r="A28" s="22">
        <v>105</v>
      </c>
      <c r="B28" s="22" t="s">
        <v>9</v>
      </c>
      <c r="C28" s="22">
        <v>29</v>
      </c>
      <c r="D28" s="22" t="s">
        <v>10</v>
      </c>
      <c r="E28" s="22" t="s">
        <v>17</v>
      </c>
      <c r="F28" s="22">
        <v>2310</v>
      </c>
      <c r="G28" s="22">
        <v>42</v>
      </c>
      <c r="H28" s="22">
        <v>2</v>
      </c>
      <c r="I28" s="23">
        <v>100</v>
      </c>
      <c r="J28" s="20">
        <f t="shared" si="5"/>
        <v>5</v>
      </c>
      <c r="K28" s="20">
        <f t="shared" si="2"/>
        <v>97020</v>
      </c>
      <c r="L28" s="47">
        <f t="shared" si="3"/>
        <v>61792.33218770021</v>
      </c>
      <c r="M28" s="22">
        <f t="shared" si="0"/>
        <v>4620</v>
      </c>
      <c r="N28" s="47">
        <f t="shared" si="4"/>
        <v>3945.3686551962764</v>
      </c>
      <c r="O28" s="47"/>
      <c r="P28" s="51" t="s">
        <v>64</v>
      </c>
      <c r="Q28" s="35">
        <v>13</v>
      </c>
      <c r="R28" s="25">
        <f>SUM(I90:I102)/Q28</f>
        <v>815.3846153846154</v>
      </c>
      <c r="S28" s="25">
        <f t="shared" si="7"/>
        <v>2322309.980928162</v>
      </c>
    </row>
    <row r="29" spans="1:19" ht="12.75">
      <c r="A29" s="22">
        <v>94</v>
      </c>
      <c r="B29" s="22" t="s">
        <v>9</v>
      </c>
      <c r="C29" s="22">
        <v>15</v>
      </c>
      <c r="D29" s="22" t="s">
        <v>15</v>
      </c>
      <c r="E29" s="22" t="s">
        <v>20</v>
      </c>
      <c r="F29" s="22">
        <v>2543</v>
      </c>
      <c r="G29" s="22">
        <v>53</v>
      </c>
      <c r="H29" s="22">
        <v>3</v>
      </c>
      <c r="I29" s="23">
        <v>100</v>
      </c>
      <c r="J29" s="20">
        <f t="shared" si="5"/>
        <v>5</v>
      </c>
      <c r="K29" s="20">
        <f t="shared" si="2"/>
        <v>134779</v>
      </c>
      <c r="L29" s="47">
        <f t="shared" si="3"/>
        <v>86373.49622132139</v>
      </c>
      <c r="M29" s="22">
        <f t="shared" si="0"/>
        <v>7629</v>
      </c>
      <c r="N29" s="47">
        <f t="shared" si="4"/>
        <v>239.49770706952643</v>
      </c>
      <c r="O29" s="47"/>
      <c r="P29" s="51" t="s">
        <v>76</v>
      </c>
      <c r="Q29" s="35">
        <v>9</v>
      </c>
      <c r="R29" s="25">
        <f>SUM(I103:I111)/Q29</f>
        <v>900</v>
      </c>
      <c r="S29" s="25">
        <f t="shared" si="7"/>
        <v>2315930.5785123967</v>
      </c>
    </row>
    <row r="30" spans="1:19" ht="12.75">
      <c r="A30" s="22">
        <v>95</v>
      </c>
      <c r="B30" s="22" t="s">
        <v>9</v>
      </c>
      <c r="C30" s="22">
        <v>25</v>
      </c>
      <c r="D30" s="22" t="s">
        <v>11</v>
      </c>
      <c r="E30" s="22" t="s">
        <v>16</v>
      </c>
      <c r="F30" s="22">
        <v>2661</v>
      </c>
      <c r="G30" s="22">
        <v>48</v>
      </c>
      <c r="H30" s="22">
        <v>2</v>
      </c>
      <c r="I30" s="23">
        <v>100</v>
      </c>
      <c r="J30" s="20">
        <f t="shared" si="5"/>
        <v>5</v>
      </c>
      <c r="K30" s="20">
        <f t="shared" si="2"/>
        <v>127728</v>
      </c>
      <c r="L30" s="47">
        <f t="shared" si="3"/>
        <v>1824.192756214681</v>
      </c>
      <c r="M30" s="22">
        <f t="shared" si="0"/>
        <v>5322</v>
      </c>
      <c r="N30" s="47">
        <f t="shared" si="4"/>
        <v>4544.859736570256</v>
      </c>
      <c r="O30" s="47"/>
      <c r="P30" s="51"/>
      <c r="Q30" s="35">
        <f>SUM(Q22:Q29)</f>
        <v>110</v>
      </c>
      <c r="R30" s="24" t="s">
        <v>72</v>
      </c>
      <c r="S30" s="25">
        <f>SUM(S22:S29)</f>
        <v>9745628.757207705</v>
      </c>
    </row>
    <row r="31" spans="1:19" ht="12.75">
      <c r="A31" s="17">
        <v>21</v>
      </c>
      <c r="B31" s="17" t="s">
        <v>9</v>
      </c>
      <c r="C31" s="17">
        <v>23</v>
      </c>
      <c r="D31" s="17" t="s">
        <v>10</v>
      </c>
      <c r="E31" s="17" t="s">
        <v>16</v>
      </c>
      <c r="F31" s="17">
        <v>2754</v>
      </c>
      <c r="G31" s="17">
        <v>53</v>
      </c>
      <c r="H31" s="17">
        <v>2</v>
      </c>
      <c r="I31" s="26">
        <v>100</v>
      </c>
      <c r="J31" s="20">
        <f t="shared" si="5"/>
        <v>5</v>
      </c>
      <c r="K31" s="20">
        <f t="shared" si="2"/>
        <v>145962</v>
      </c>
      <c r="L31" s="47">
        <f t="shared" si="3"/>
        <v>93540.15280909128</v>
      </c>
      <c r="M31" s="22">
        <f t="shared" si="0"/>
        <v>5508</v>
      </c>
      <c r="N31" s="47">
        <f t="shared" si="4"/>
        <v>4703.699253857379</v>
      </c>
      <c r="O31" s="47"/>
      <c r="P31" s="51"/>
      <c r="Q31" s="35"/>
      <c r="R31" s="24" t="s">
        <v>71</v>
      </c>
      <c r="S31" s="24">
        <f>S30/110</f>
        <v>88596.62506552458</v>
      </c>
    </row>
    <row r="32" spans="1:19" ht="12.75">
      <c r="A32" s="22">
        <v>28</v>
      </c>
      <c r="B32" s="22" t="s">
        <v>8</v>
      </c>
      <c r="C32" s="22">
        <v>50</v>
      </c>
      <c r="D32" s="22" t="s">
        <v>11</v>
      </c>
      <c r="E32" s="22" t="s">
        <v>19</v>
      </c>
      <c r="F32" s="22">
        <v>3014</v>
      </c>
      <c r="G32" s="22">
        <v>41</v>
      </c>
      <c r="H32" s="22">
        <v>2</v>
      </c>
      <c r="I32" s="23">
        <v>100</v>
      </c>
      <c r="J32" s="20">
        <f t="shared" si="5"/>
        <v>5</v>
      </c>
      <c r="K32" s="20">
        <f t="shared" si="2"/>
        <v>123574</v>
      </c>
      <c r="L32" s="47">
        <f t="shared" si="3"/>
        <v>114815.29713492403</v>
      </c>
      <c r="M32" s="22">
        <f t="shared" si="0"/>
        <v>6028</v>
      </c>
      <c r="N32" s="47">
        <f t="shared" si="4"/>
        <v>5147.766721541809</v>
      </c>
      <c r="O32" s="47"/>
      <c r="P32" s="36"/>
      <c r="Q32" s="36"/>
      <c r="R32" s="17" t="s">
        <v>73</v>
      </c>
      <c r="S32" s="17">
        <f>SQRT(S31/$I$117)</f>
        <v>0.9825832812637743</v>
      </c>
    </row>
    <row r="33" spans="1:19" ht="12.75">
      <c r="A33" s="22">
        <v>2</v>
      </c>
      <c r="B33" s="22" t="s">
        <v>8</v>
      </c>
      <c r="C33" s="22">
        <v>22</v>
      </c>
      <c r="D33" s="22" t="s">
        <v>11</v>
      </c>
      <c r="E33" s="22" t="s">
        <v>17</v>
      </c>
      <c r="F33" s="22">
        <v>4156</v>
      </c>
      <c r="G33" s="22">
        <v>49</v>
      </c>
      <c r="H33" s="22">
        <v>2</v>
      </c>
      <c r="I33" s="23">
        <v>100</v>
      </c>
      <c r="J33" s="20">
        <f t="shared" si="5"/>
        <v>5</v>
      </c>
      <c r="K33" s="20">
        <f t="shared" si="2"/>
        <v>203644</v>
      </c>
      <c r="L33" s="47">
        <f t="shared" si="3"/>
        <v>13887.11875639039</v>
      </c>
      <c r="M33" s="22">
        <f t="shared" si="0"/>
        <v>8312</v>
      </c>
      <c r="N33" s="47">
        <f t="shared" si="4"/>
        <v>7098.247675755725</v>
      </c>
      <c r="O33" s="47"/>
      <c r="P33" s="51" t="s">
        <v>6</v>
      </c>
      <c r="Q33" s="35"/>
      <c r="R33" s="24" t="s">
        <v>33</v>
      </c>
      <c r="S33" s="24" t="s">
        <v>70</v>
      </c>
    </row>
    <row r="34" spans="1:19" ht="12.75">
      <c r="A34" s="22">
        <v>45</v>
      </c>
      <c r="B34" s="22" t="s">
        <v>9</v>
      </c>
      <c r="C34" s="22">
        <v>28</v>
      </c>
      <c r="D34" s="22" t="s">
        <v>11</v>
      </c>
      <c r="E34" s="22" t="s">
        <v>17</v>
      </c>
      <c r="F34" s="22">
        <v>4260</v>
      </c>
      <c r="G34" s="22">
        <v>42</v>
      </c>
      <c r="H34" s="22">
        <v>1</v>
      </c>
      <c r="I34" s="23">
        <v>100</v>
      </c>
      <c r="J34" s="20">
        <f t="shared" si="5"/>
        <v>5</v>
      </c>
      <c r="K34" s="20">
        <f t="shared" si="2"/>
        <v>178920</v>
      </c>
      <c r="L34" s="47">
        <f t="shared" si="3"/>
        <v>113954.69052796661</v>
      </c>
      <c r="M34" s="22">
        <f aca="true" t="shared" si="8" ref="M34:M65">F34*H34</f>
        <v>4260</v>
      </c>
      <c r="N34" s="47">
        <f t="shared" si="4"/>
        <v>22670.545931197263</v>
      </c>
      <c r="O34" s="47"/>
      <c r="P34" s="52" t="s">
        <v>115</v>
      </c>
      <c r="Q34" s="35">
        <v>67</v>
      </c>
      <c r="R34" s="25">
        <f>SUM(I2:I68)/Q34</f>
        <v>180.59701492537314</v>
      </c>
      <c r="S34" s="25">
        <f>((R34-$I$114)^2)*Q34</f>
        <v>3014949.5004317258</v>
      </c>
    </row>
    <row r="35" spans="1:19" ht="12.75">
      <c r="A35" s="22">
        <v>65</v>
      </c>
      <c r="B35" s="22" t="s">
        <v>9</v>
      </c>
      <c r="C35" s="22">
        <v>38</v>
      </c>
      <c r="D35" s="22" t="s">
        <v>11</v>
      </c>
      <c r="E35" s="22" t="s">
        <v>17</v>
      </c>
      <c r="F35" s="22">
        <v>4998</v>
      </c>
      <c r="G35" s="22">
        <v>41</v>
      </c>
      <c r="H35" s="22">
        <v>2</v>
      </c>
      <c r="I35" s="23">
        <v>100</v>
      </c>
      <c r="J35" s="20">
        <f t="shared" si="5"/>
        <v>5</v>
      </c>
      <c r="K35" s="20">
        <f t="shared" si="2"/>
        <v>204918</v>
      </c>
      <c r="L35" s="47">
        <f t="shared" si="3"/>
        <v>190393.78071677184</v>
      </c>
      <c r="M35" s="22">
        <f t="shared" si="8"/>
        <v>9996</v>
      </c>
      <c r="N35" s="47">
        <f t="shared" si="4"/>
        <v>8536.343090333761</v>
      </c>
      <c r="O35" s="47"/>
      <c r="P35" s="52" t="s">
        <v>111</v>
      </c>
      <c r="Q35" s="35">
        <v>29</v>
      </c>
      <c r="R35" s="25">
        <f>SUM(I69:I97)/Q35</f>
        <v>648.2758620689655</v>
      </c>
      <c r="S35" s="25">
        <f>((R35-$I$114)^2)*Q35</f>
        <v>1893847.363921344</v>
      </c>
    </row>
    <row r="36" spans="1:19" ht="12.75">
      <c r="A36" s="22">
        <v>41</v>
      </c>
      <c r="B36" s="22" t="s">
        <v>8</v>
      </c>
      <c r="C36" s="22">
        <v>20</v>
      </c>
      <c r="D36" s="22" t="s">
        <v>11</v>
      </c>
      <c r="E36" s="22" t="s">
        <v>19</v>
      </c>
      <c r="F36" s="22">
        <v>5906</v>
      </c>
      <c r="G36" s="22">
        <v>53</v>
      </c>
      <c r="H36" s="22">
        <v>2</v>
      </c>
      <c r="I36" s="23">
        <v>100</v>
      </c>
      <c r="J36" s="20">
        <f t="shared" si="5"/>
        <v>5</v>
      </c>
      <c r="K36" s="20">
        <f t="shared" si="2"/>
        <v>313018</v>
      </c>
      <c r="L36" s="47">
        <f t="shared" si="3"/>
        <v>200598.45406335988</v>
      </c>
      <c r="M36" s="22">
        <f t="shared" si="8"/>
        <v>11812</v>
      </c>
      <c r="N36" s="47">
        <f t="shared" si="4"/>
        <v>10087.163323631692</v>
      </c>
      <c r="O36" s="47"/>
      <c r="P36" s="52" t="s">
        <v>112</v>
      </c>
      <c r="Q36" s="35">
        <v>11</v>
      </c>
      <c r="R36" s="25">
        <f>SUM(I98:I108)/Q36</f>
        <v>872.7272727272727</v>
      </c>
      <c r="S36" s="25">
        <f>((R36-$I$114)^2)*Q36</f>
        <v>2534400</v>
      </c>
    </row>
    <row r="37" spans="1:19" ht="12.75">
      <c r="A37" s="22">
        <v>74</v>
      </c>
      <c r="B37" s="22" t="s">
        <v>8</v>
      </c>
      <c r="C37" s="22">
        <v>29</v>
      </c>
      <c r="D37" s="22" t="s">
        <v>13</v>
      </c>
      <c r="E37" s="22" t="s">
        <v>16</v>
      </c>
      <c r="F37" s="22">
        <v>409</v>
      </c>
      <c r="G37" s="22">
        <v>51</v>
      </c>
      <c r="H37" s="22">
        <v>12</v>
      </c>
      <c r="I37" s="23">
        <v>200</v>
      </c>
      <c r="J37" s="20">
        <f t="shared" si="5"/>
        <v>15</v>
      </c>
      <c r="K37" s="20">
        <f t="shared" si="2"/>
        <v>20859</v>
      </c>
      <c r="L37" s="47">
        <f t="shared" si="3"/>
        <v>5993.211917718079</v>
      </c>
      <c r="M37" s="22">
        <f t="shared" si="8"/>
        <v>4908</v>
      </c>
      <c r="N37" s="47">
        <f t="shared" si="4"/>
        <v>30908.222359031242</v>
      </c>
      <c r="O37" s="47"/>
      <c r="P37" s="52" t="s">
        <v>113</v>
      </c>
      <c r="Q37" s="35">
        <v>1</v>
      </c>
      <c r="R37" s="25">
        <f>SUM(I109:I109)/Q37</f>
        <v>900</v>
      </c>
      <c r="S37" s="25">
        <f>((R37-$I$114)^2)*Q37</f>
        <v>257325.61983471073</v>
      </c>
    </row>
    <row r="38" spans="1:19" ht="12.75">
      <c r="A38" s="22">
        <v>76</v>
      </c>
      <c r="B38" s="22" t="s">
        <v>9</v>
      </c>
      <c r="C38" s="22">
        <v>40</v>
      </c>
      <c r="D38" s="22" t="s">
        <v>13</v>
      </c>
      <c r="E38" s="22" t="s">
        <v>18</v>
      </c>
      <c r="F38" s="22">
        <v>431</v>
      </c>
      <c r="G38" s="22">
        <v>40</v>
      </c>
      <c r="H38" s="22">
        <v>13</v>
      </c>
      <c r="I38" s="23">
        <v>200</v>
      </c>
      <c r="J38" s="20">
        <f>IF(H38&lt;5,5,IF(H38&lt;10,10,IF(H38&lt;15,15,IF(H38&lt;20,20,25))))</f>
        <v>15</v>
      </c>
      <c r="K38" s="20">
        <f t="shared" si="2"/>
        <v>17240</v>
      </c>
      <c r="L38" s="47">
        <f t="shared" si="3"/>
        <v>22169.803915046734</v>
      </c>
      <c r="M38" s="22">
        <f t="shared" si="8"/>
        <v>5603</v>
      </c>
      <c r="N38" s="47">
        <f t="shared" si="4"/>
        <v>40495.23133717088</v>
      </c>
      <c r="O38" s="47"/>
      <c r="P38" s="52" t="s">
        <v>114</v>
      </c>
      <c r="Q38" s="35">
        <v>2</v>
      </c>
      <c r="R38" s="25">
        <f>SUM(I110:I111)/Q38</f>
        <v>900</v>
      </c>
      <c r="S38" s="25">
        <f>((R38-$I$114)^2)*Q38</f>
        <v>514651.23966942145</v>
      </c>
    </row>
    <row r="39" spans="1:19" ht="12.75">
      <c r="A39" s="22">
        <v>20</v>
      </c>
      <c r="B39" s="22" t="s">
        <v>9</v>
      </c>
      <c r="C39" s="22">
        <v>39</v>
      </c>
      <c r="D39" s="22" t="s">
        <v>13</v>
      </c>
      <c r="E39" s="22" t="s">
        <v>17</v>
      </c>
      <c r="F39" s="22">
        <v>531</v>
      </c>
      <c r="G39" s="22">
        <v>40</v>
      </c>
      <c r="H39" s="22">
        <v>9</v>
      </c>
      <c r="I39" s="23">
        <v>200</v>
      </c>
      <c r="J39" s="20">
        <f t="shared" si="5"/>
        <v>10</v>
      </c>
      <c r="K39" s="20">
        <f t="shared" si="2"/>
        <v>21240</v>
      </c>
      <c r="L39" s="47">
        <f t="shared" si="3"/>
        <v>27313.6099278186</v>
      </c>
      <c r="M39" s="22">
        <f t="shared" si="8"/>
        <v>4779</v>
      </c>
      <c r="N39" s="47">
        <f t="shared" si="4"/>
        <v>17210.5296576149</v>
      </c>
      <c r="O39" s="47"/>
      <c r="P39" s="52"/>
      <c r="Q39" s="35">
        <f>SUM(Q34:Q38)</f>
        <v>110</v>
      </c>
      <c r="R39" s="24" t="s">
        <v>72</v>
      </c>
      <c r="S39" s="25">
        <f>SUM(S34:S38)</f>
        <v>8215173.723857203</v>
      </c>
    </row>
    <row r="40" spans="1:19" ht="12.75">
      <c r="A40" s="22">
        <v>63</v>
      </c>
      <c r="B40" s="22" t="s">
        <v>8</v>
      </c>
      <c r="C40" s="22">
        <v>25</v>
      </c>
      <c r="D40" s="22" t="s">
        <v>14</v>
      </c>
      <c r="E40" s="22" t="s">
        <v>18</v>
      </c>
      <c r="F40" s="22">
        <v>802</v>
      </c>
      <c r="G40" s="22">
        <v>41</v>
      </c>
      <c r="H40" s="22">
        <v>8</v>
      </c>
      <c r="I40" s="23">
        <v>200</v>
      </c>
      <c r="J40" s="20">
        <f t="shared" si="5"/>
        <v>10</v>
      </c>
      <c r="K40" s="20">
        <f t="shared" si="2"/>
        <v>32882</v>
      </c>
      <c r="L40" s="47">
        <f t="shared" si="3"/>
        <v>30551.382980162267</v>
      </c>
      <c r="M40" s="22">
        <f t="shared" si="8"/>
        <v>6416</v>
      </c>
      <c r="N40" s="47">
        <f t="shared" si="4"/>
        <v>17664.303600047784</v>
      </c>
      <c r="O40" s="47"/>
      <c r="P40" s="51"/>
      <c r="Q40" s="35"/>
      <c r="R40" s="24" t="s">
        <v>71</v>
      </c>
      <c r="S40" s="24">
        <f>S39/110</f>
        <v>74683.39748961093</v>
      </c>
    </row>
    <row r="41" spans="1:19" ht="12.75">
      <c r="A41" s="17">
        <v>71</v>
      </c>
      <c r="B41" s="17" t="s">
        <v>9</v>
      </c>
      <c r="C41" s="17">
        <v>20</v>
      </c>
      <c r="D41" s="17" t="s">
        <v>13</v>
      </c>
      <c r="E41" s="17" t="s">
        <v>17</v>
      </c>
      <c r="F41" s="17">
        <v>877</v>
      </c>
      <c r="G41" s="17">
        <v>50</v>
      </c>
      <c r="H41" s="17">
        <v>8</v>
      </c>
      <c r="I41" s="26">
        <v>200</v>
      </c>
      <c r="J41" s="20">
        <f t="shared" si="5"/>
        <v>10</v>
      </c>
      <c r="K41" s="20">
        <f t="shared" si="2"/>
        <v>43850</v>
      </c>
      <c r="L41" s="47">
        <f t="shared" si="3"/>
        <v>7013.7165191774475</v>
      </c>
      <c r="M41" s="22">
        <f t="shared" si="8"/>
        <v>7016</v>
      </c>
      <c r="N41" s="47">
        <f t="shared" si="4"/>
        <v>19316.202315762977</v>
      </c>
      <c r="O41" s="47"/>
      <c r="P41" s="36"/>
      <c r="Q41" s="36"/>
      <c r="R41" s="17" t="s">
        <v>73</v>
      </c>
      <c r="S41" s="17">
        <f>SQRT(S40/$I$117)</f>
        <v>0.9021376629202197</v>
      </c>
    </row>
    <row r="42" spans="1:19" ht="12.75">
      <c r="A42" s="22">
        <v>60</v>
      </c>
      <c r="B42" s="22" t="s">
        <v>8</v>
      </c>
      <c r="C42" s="22">
        <v>31</v>
      </c>
      <c r="D42" s="22" t="s">
        <v>13</v>
      </c>
      <c r="E42" s="22" t="s">
        <v>19</v>
      </c>
      <c r="F42" s="22">
        <v>1079</v>
      </c>
      <c r="G42" s="22">
        <v>40</v>
      </c>
      <c r="H42" s="22">
        <v>5</v>
      </c>
      <c r="I42" s="23">
        <v>200</v>
      </c>
      <c r="J42" s="20">
        <f t="shared" si="5"/>
        <v>10</v>
      </c>
      <c r="K42" s="20">
        <f t="shared" si="2"/>
        <v>43160</v>
      </c>
      <c r="L42" s="47">
        <f t="shared" si="3"/>
        <v>55501.66687780841</v>
      </c>
      <c r="M42" s="22">
        <f t="shared" si="8"/>
        <v>5395</v>
      </c>
      <c r="N42" s="47">
        <f t="shared" si="4"/>
        <v>3093.098090489805</v>
      </c>
      <c r="O42" s="47"/>
      <c r="P42" s="51" t="s">
        <v>81</v>
      </c>
      <c r="Q42" s="35"/>
      <c r="R42" s="24" t="s">
        <v>33</v>
      </c>
      <c r="S42" s="24" t="s">
        <v>70</v>
      </c>
    </row>
    <row r="43" spans="1:19" ht="12.75">
      <c r="A43" s="22">
        <v>37</v>
      </c>
      <c r="B43" s="22" t="s">
        <v>8</v>
      </c>
      <c r="C43" s="22">
        <v>28</v>
      </c>
      <c r="D43" s="22" t="s">
        <v>13</v>
      </c>
      <c r="E43" s="22" t="s">
        <v>18</v>
      </c>
      <c r="F43" s="22">
        <v>1186</v>
      </c>
      <c r="G43" s="22">
        <v>42</v>
      </c>
      <c r="H43" s="22">
        <v>5</v>
      </c>
      <c r="I43" s="23">
        <v>200</v>
      </c>
      <c r="J43" s="20">
        <f t="shared" si="5"/>
        <v>10</v>
      </c>
      <c r="K43" s="20">
        <f t="shared" si="2"/>
        <v>49812</v>
      </c>
      <c r="L43" s="47">
        <f t="shared" si="3"/>
        <v>31725.41384182357</v>
      </c>
      <c r="M43" s="22">
        <f t="shared" si="8"/>
        <v>5930</v>
      </c>
      <c r="N43" s="47">
        <f t="shared" si="4"/>
        <v>3399.8279289350407</v>
      </c>
      <c r="O43" s="47"/>
      <c r="P43" s="51" t="s">
        <v>82</v>
      </c>
      <c r="Q43" s="35">
        <v>2</v>
      </c>
      <c r="R43" s="25">
        <f>SUM(I2:I3)/Q43</f>
        <v>100</v>
      </c>
      <c r="S43" s="25">
        <f>((R43-$I$114)^2)*Q43</f>
        <v>171378.51239669425</v>
      </c>
    </row>
    <row r="44" spans="1:19" ht="12.75">
      <c r="A44" s="22">
        <v>40</v>
      </c>
      <c r="B44" s="22" t="s">
        <v>9</v>
      </c>
      <c r="C44" s="22">
        <v>33</v>
      </c>
      <c r="D44" s="22" t="s">
        <v>10</v>
      </c>
      <c r="E44" s="22" t="s">
        <v>16</v>
      </c>
      <c r="F44" s="22">
        <v>1227</v>
      </c>
      <c r="G44" s="22">
        <v>52</v>
      </c>
      <c r="H44" s="22">
        <v>4</v>
      </c>
      <c r="I44" s="23">
        <v>200</v>
      </c>
      <c r="J44" s="20">
        <f t="shared" si="5"/>
        <v>5</v>
      </c>
      <c r="K44" s="20">
        <f t="shared" si="2"/>
        <v>63804</v>
      </c>
      <c r="L44" s="47">
        <f t="shared" si="3"/>
        <v>28600.466296467283</v>
      </c>
      <c r="M44" s="22">
        <f t="shared" si="8"/>
        <v>4908</v>
      </c>
      <c r="N44" s="47">
        <f t="shared" si="4"/>
        <v>589.4589011073464</v>
      </c>
      <c r="O44" s="47"/>
      <c r="P44" s="52" t="s">
        <v>83</v>
      </c>
      <c r="Q44" s="35">
        <v>3</v>
      </c>
      <c r="R44" s="25">
        <f>SUM(I4:I6)/Q44</f>
        <v>100</v>
      </c>
      <c r="S44" s="25">
        <f aca="true" t="shared" si="9" ref="S44:S50">((R44-$I$114)^2)*Q44</f>
        <v>257067.76859504136</v>
      </c>
    </row>
    <row r="45" spans="1:19" ht="12.75">
      <c r="A45" s="22">
        <v>43</v>
      </c>
      <c r="B45" s="22" t="s">
        <v>9</v>
      </c>
      <c r="C45" s="22">
        <v>26</v>
      </c>
      <c r="D45" s="22" t="s">
        <v>13</v>
      </c>
      <c r="E45" s="22" t="s">
        <v>19</v>
      </c>
      <c r="F45" s="22">
        <v>1349</v>
      </c>
      <c r="G45" s="22">
        <v>46</v>
      </c>
      <c r="H45" s="22">
        <v>4</v>
      </c>
      <c r="I45" s="23">
        <v>200</v>
      </c>
      <c r="J45" s="20">
        <f t="shared" si="5"/>
        <v>5</v>
      </c>
      <c r="K45" s="20">
        <f t="shared" si="2"/>
        <v>62054</v>
      </c>
      <c r="L45" s="47">
        <f t="shared" si="3"/>
        <v>1853.0697769833737</v>
      </c>
      <c r="M45" s="22">
        <f t="shared" si="8"/>
        <v>5396</v>
      </c>
      <c r="N45" s="47">
        <f t="shared" si="4"/>
        <v>648.0685065964224</v>
      </c>
      <c r="O45" s="47"/>
      <c r="P45" s="52" t="s">
        <v>84</v>
      </c>
      <c r="Q45" s="35">
        <v>5</v>
      </c>
      <c r="R45" s="25">
        <f>SUM(I7:I11)/Q45</f>
        <v>100</v>
      </c>
      <c r="S45" s="25">
        <f t="shared" si="9"/>
        <v>428446.28099173564</v>
      </c>
    </row>
    <row r="46" spans="1:19" ht="12.75">
      <c r="A46" s="22">
        <v>81</v>
      </c>
      <c r="B46" s="22" t="s">
        <v>8</v>
      </c>
      <c r="C46" s="22">
        <v>18</v>
      </c>
      <c r="D46" s="22" t="s">
        <v>10</v>
      </c>
      <c r="E46" s="22" t="s">
        <v>16</v>
      </c>
      <c r="F46" s="22">
        <v>1462</v>
      </c>
      <c r="G46" s="22">
        <v>55</v>
      </c>
      <c r="H46" s="22">
        <v>4</v>
      </c>
      <c r="I46" s="23">
        <v>200</v>
      </c>
      <c r="J46" s="20">
        <f t="shared" si="5"/>
        <v>5</v>
      </c>
      <c r="K46" s="20">
        <f t="shared" si="2"/>
        <v>80410</v>
      </c>
      <c r="L46" s="47">
        <f t="shared" si="3"/>
        <v>89587.0680427108</v>
      </c>
      <c r="M46" s="22">
        <f t="shared" si="8"/>
        <v>5848</v>
      </c>
      <c r="N46" s="47">
        <f t="shared" si="4"/>
        <v>702.3544526641731</v>
      </c>
      <c r="O46" s="47"/>
      <c r="P46" s="52" t="s">
        <v>85</v>
      </c>
      <c r="Q46" s="35">
        <v>11</v>
      </c>
      <c r="R46" s="25">
        <f>SUM(I12:I22)/Q46</f>
        <v>100</v>
      </c>
      <c r="S46" s="25">
        <f t="shared" si="9"/>
        <v>942581.8181818184</v>
      </c>
    </row>
    <row r="47" spans="1:19" ht="12.75">
      <c r="A47" s="22">
        <v>9</v>
      </c>
      <c r="B47" s="22" t="s">
        <v>8</v>
      </c>
      <c r="C47" s="22">
        <v>24</v>
      </c>
      <c r="D47" s="22" t="s">
        <v>10</v>
      </c>
      <c r="E47" s="22" t="s">
        <v>17</v>
      </c>
      <c r="F47" s="22">
        <v>1502</v>
      </c>
      <c r="G47" s="22">
        <v>40</v>
      </c>
      <c r="H47" s="22">
        <v>4</v>
      </c>
      <c r="I47" s="23">
        <v>200</v>
      </c>
      <c r="J47" s="20">
        <f t="shared" si="5"/>
        <v>5</v>
      </c>
      <c r="K47" s="20">
        <f t="shared" si="2"/>
        <v>60080</v>
      </c>
      <c r="L47" s="47">
        <f t="shared" si="3"/>
        <v>77259.9663118334</v>
      </c>
      <c r="M47" s="22">
        <f t="shared" si="8"/>
        <v>6008</v>
      </c>
      <c r="N47" s="47">
        <f t="shared" si="4"/>
        <v>721.5707167589521</v>
      </c>
      <c r="O47" s="47"/>
      <c r="P47" s="52" t="s">
        <v>86</v>
      </c>
      <c r="Q47" s="35">
        <v>22</v>
      </c>
      <c r="R47" s="25">
        <f>SUM(I23:I44)/Q47</f>
        <v>136.36363636363637</v>
      </c>
      <c r="S47" s="25">
        <f t="shared" si="9"/>
        <v>1445890.9090909092</v>
      </c>
    </row>
    <row r="48" spans="1:19" ht="12.75">
      <c r="A48" s="22">
        <v>64</v>
      </c>
      <c r="B48" s="22" t="s">
        <v>8</v>
      </c>
      <c r="C48" s="22">
        <v>29</v>
      </c>
      <c r="D48" s="22" t="s">
        <v>10</v>
      </c>
      <c r="E48" s="22" t="s">
        <v>16</v>
      </c>
      <c r="F48" s="22">
        <v>1570</v>
      </c>
      <c r="G48" s="22">
        <v>40</v>
      </c>
      <c r="H48" s="22">
        <v>3</v>
      </c>
      <c r="I48" s="23">
        <v>200</v>
      </c>
      <c r="J48" s="20">
        <f t="shared" si="5"/>
        <v>5</v>
      </c>
      <c r="K48" s="20">
        <f t="shared" si="2"/>
        <v>62800</v>
      </c>
      <c r="L48" s="47">
        <f t="shared" si="3"/>
        <v>80757.75440051827</v>
      </c>
      <c r="M48" s="22">
        <f t="shared" si="8"/>
        <v>4710</v>
      </c>
      <c r="N48" s="47">
        <f t="shared" si="4"/>
        <v>147.86134490725777</v>
      </c>
      <c r="O48" s="47"/>
      <c r="P48" s="52" t="s">
        <v>87</v>
      </c>
      <c r="Q48" s="35">
        <v>28</v>
      </c>
      <c r="R48" s="25">
        <f>SUM(I45:I72)/Q48</f>
        <v>307.14285714285717</v>
      </c>
      <c r="S48" s="25">
        <f t="shared" si="9"/>
        <v>205091.38134592678</v>
      </c>
    </row>
    <row r="49" spans="1:19" ht="12.75">
      <c r="A49" s="22">
        <v>16</v>
      </c>
      <c r="B49" s="22" t="s">
        <v>8</v>
      </c>
      <c r="C49" s="22">
        <v>45</v>
      </c>
      <c r="D49" s="22" t="s">
        <v>13</v>
      </c>
      <c r="E49" s="22" t="s">
        <v>19</v>
      </c>
      <c r="F49" s="22">
        <v>1721</v>
      </c>
      <c r="G49" s="22">
        <v>55</v>
      </c>
      <c r="H49" s="22">
        <v>3</v>
      </c>
      <c r="I49" s="23">
        <v>200</v>
      </c>
      <c r="J49" s="20">
        <f t="shared" si="5"/>
        <v>5</v>
      </c>
      <c r="K49" s="20">
        <f t="shared" si="2"/>
        <v>94655</v>
      </c>
      <c r="L49" s="47">
        <f t="shared" si="3"/>
        <v>105457.827702808</v>
      </c>
      <c r="M49" s="22">
        <f t="shared" si="8"/>
        <v>5163</v>
      </c>
      <c r="N49" s="47">
        <f t="shared" si="4"/>
        <v>162.0824041945163</v>
      </c>
      <c r="O49" s="47"/>
      <c r="P49" s="52" t="s">
        <v>88</v>
      </c>
      <c r="Q49" s="35">
        <v>19</v>
      </c>
      <c r="R49" s="25">
        <f>SUM(I73:I91)/Q49</f>
        <v>652.6315789473684</v>
      </c>
      <c r="S49" s="25">
        <f t="shared" si="9"/>
        <v>1283454.719443236</v>
      </c>
    </row>
    <row r="50" spans="1:19" ht="12.75">
      <c r="A50" s="22">
        <v>90</v>
      </c>
      <c r="B50" s="22" t="s">
        <v>8</v>
      </c>
      <c r="C50" s="22">
        <v>41</v>
      </c>
      <c r="D50" s="22" t="s">
        <v>10</v>
      </c>
      <c r="E50" s="22" t="s">
        <v>16</v>
      </c>
      <c r="F50" s="22">
        <v>2466</v>
      </c>
      <c r="G50" s="22">
        <v>50</v>
      </c>
      <c r="H50" s="22">
        <v>3</v>
      </c>
      <c r="I50" s="23">
        <v>200</v>
      </c>
      <c r="J50" s="20">
        <f t="shared" si="5"/>
        <v>5</v>
      </c>
      <c r="K50" s="20">
        <f t="shared" si="2"/>
        <v>123300</v>
      </c>
      <c r="L50" s="47">
        <f t="shared" si="3"/>
        <v>19721.579174790862</v>
      </c>
      <c r="M50" s="22">
        <f t="shared" si="8"/>
        <v>7398</v>
      </c>
      <c r="N50" s="47">
        <f t="shared" si="4"/>
        <v>232.24590862503035</v>
      </c>
      <c r="O50" s="47"/>
      <c r="P50" s="52" t="s">
        <v>89</v>
      </c>
      <c r="Q50" s="35">
        <v>20</v>
      </c>
      <c r="R50" s="25">
        <f>SUM(I92:I111)/Q50</f>
        <v>855</v>
      </c>
      <c r="S50" s="25">
        <f t="shared" si="9"/>
        <v>4273921.487603305</v>
      </c>
    </row>
    <row r="51" spans="1:19" ht="12.75">
      <c r="A51" s="17">
        <v>83</v>
      </c>
      <c r="B51" s="17" t="s">
        <v>8</v>
      </c>
      <c r="C51" s="17">
        <v>26</v>
      </c>
      <c r="D51" s="17" t="s">
        <v>11</v>
      </c>
      <c r="E51" s="17" t="s">
        <v>16</v>
      </c>
      <c r="F51" s="17">
        <v>2481</v>
      </c>
      <c r="G51" s="17">
        <v>50</v>
      </c>
      <c r="H51" s="17">
        <v>3</v>
      </c>
      <c r="I51" s="26">
        <v>200</v>
      </c>
      <c r="J51" s="20">
        <f t="shared" si="5"/>
        <v>5</v>
      </c>
      <c r="K51" s="20">
        <f t="shared" si="2"/>
        <v>124050</v>
      </c>
      <c r="L51" s="47">
        <f t="shared" si="3"/>
        <v>19841.54011867645</v>
      </c>
      <c r="M51" s="22">
        <f t="shared" si="8"/>
        <v>7443</v>
      </c>
      <c r="N51" s="47">
        <f t="shared" si="4"/>
        <v>233.6585966336984</v>
      </c>
      <c r="O51" s="47"/>
      <c r="P51" s="51"/>
      <c r="Q51" s="35">
        <f>SUM(Q43:Q50)</f>
        <v>110</v>
      </c>
      <c r="R51" s="24" t="s">
        <v>72</v>
      </c>
      <c r="S51" s="25">
        <f>SUM(S43:S50)</f>
        <v>9007832.877648667</v>
      </c>
    </row>
    <row r="52" spans="1:19" ht="12.75">
      <c r="A52" s="24">
        <v>54</v>
      </c>
      <c r="B52" s="24" t="s">
        <v>8</v>
      </c>
      <c r="C52" s="24">
        <v>15</v>
      </c>
      <c r="D52" s="24" t="s">
        <v>15</v>
      </c>
      <c r="E52" s="24" t="s">
        <v>20</v>
      </c>
      <c r="F52" s="24">
        <v>3221</v>
      </c>
      <c r="G52" s="24">
        <v>54</v>
      </c>
      <c r="H52" s="24">
        <v>2</v>
      </c>
      <c r="I52" s="23">
        <v>200</v>
      </c>
      <c r="J52" s="20">
        <f t="shared" si="5"/>
        <v>5</v>
      </c>
      <c r="K52" s="20">
        <f t="shared" si="2"/>
        <v>173934</v>
      </c>
      <c r="L52" s="47">
        <f t="shared" si="3"/>
        <v>150166.66202195903</v>
      </c>
      <c r="M52" s="22">
        <f t="shared" si="8"/>
        <v>6442</v>
      </c>
      <c r="N52" s="47">
        <f t="shared" si="4"/>
        <v>5501.312743890566</v>
      </c>
      <c r="O52" s="47"/>
      <c r="P52" s="51"/>
      <c r="Q52" s="35"/>
      <c r="R52" s="24" t="s">
        <v>71</v>
      </c>
      <c r="S52" s="24">
        <f>S51/110</f>
        <v>81889.38979680606</v>
      </c>
    </row>
    <row r="53" spans="1:19" ht="12.75">
      <c r="A53" s="22">
        <v>67</v>
      </c>
      <c r="B53" s="22" t="s">
        <v>8</v>
      </c>
      <c r="C53" s="22">
        <v>23</v>
      </c>
      <c r="D53" s="22" t="s">
        <v>11</v>
      </c>
      <c r="E53" s="22" t="s">
        <v>19</v>
      </c>
      <c r="F53" s="22">
        <v>3299</v>
      </c>
      <c r="G53" s="22">
        <v>45</v>
      </c>
      <c r="H53" s="22">
        <v>2</v>
      </c>
      <c r="I53" s="23">
        <v>200</v>
      </c>
      <c r="J53" s="20">
        <f t="shared" si="5"/>
        <v>5</v>
      </c>
      <c r="K53" s="20">
        <f t="shared" si="2"/>
        <v>148455</v>
      </c>
      <c r="L53" s="47">
        <f t="shared" si="3"/>
        <v>15563.785309957195</v>
      </c>
      <c r="M53" s="22">
        <f t="shared" si="8"/>
        <v>6598</v>
      </c>
      <c r="N53" s="47">
        <f t="shared" si="4"/>
        <v>5634.532984195895</v>
      </c>
      <c r="O53" s="47"/>
      <c r="P53" s="51"/>
      <c r="Q53" s="35"/>
      <c r="R53" s="24" t="s">
        <v>73</v>
      </c>
      <c r="S53" s="24">
        <f>SQRT(S52/$I$115)</f>
        <v>0.9403542785715032</v>
      </c>
    </row>
    <row r="54" spans="1:19" ht="12.75">
      <c r="A54" s="22">
        <v>100</v>
      </c>
      <c r="B54" s="22" t="s">
        <v>8</v>
      </c>
      <c r="C54" s="22">
        <v>40</v>
      </c>
      <c r="D54" s="22" t="s">
        <v>11</v>
      </c>
      <c r="E54" s="22" t="s">
        <v>19</v>
      </c>
      <c r="F54" s="22">
        <v>3551</v>
      </c>
      <c r="G54" s="22">
        <v>48</v>
      </c>
      <c r="H54" s="22">
        <v>2</v>
      </c>
      <c r="I54" s="23">
        <v>200</v>
      </c>
      <c r="J54" s="20">
        <f t="shared" si="5"/>
        <v>5</v>
      </c>
      <c r="K54" s="20">
        <f t="shared" si="2"/>
        <v>170448</v>
      </c>
      <c r="L54" s="47">
        <f t="shared" si="3"/>
        <v>2434.3135953845667</v>
      </c>
      <c r="M54" s="22">
        <f t="shared" si="8"/>
        <v>7102</v>
      </c>
      <c r="N54" s="47">
        <f t="shared" si="4"/>
        <v>6064.936837490034</v>
      </c>
      <c r="O54" s="47"/>
      <c r="P54" s="51"/>
      <c r="Q54" s="35"/>
      <c r="R54" s="24"/>
      <c r="S54" s="24"/>
    </row>
    <row r="55" spans="1:19" ht="12.75">
      <c r="A55" s="22">
        <v>62</v>
      </c>
      <c r="B55" s="22" t="s">
        <v>9</v>
      </c>
      <c r="C55" s="22">
        <v>18</v>
      </c>
      <c r="D55" s="22" t="s">
        <v>11</v>
      </c>
      <c r="E55" s="22" t="s">
        <v>19</v>
      </c>
      <c r="F55" s="22">
        <v>4174</v>
      </c>
      <c r="G55" s="22">
        <v>47</v>
      </c>
      <c r="H55" s="22">
        <v>2</v>
      </c>
      <c r="I55" s="23">
        <v>200</v>
      </c>
      <c r="J55" s="20">
        <f t="shared" si="5"/>
        <v>5</v>
      </c>
      <c r="K55" s="20">
        <f t="shared" si="2"/>
        <v>196178</v>
      </c>
      <c r="L55" s="47">
        <f t="shared" si="3"/>
        <v>123.5312815902541</v>
      </c>
      <c r="M55" s="22">
        <f t="shared" si="8"/>
        <v>8348</v>
      </c>
      <c r="N55" s="47">
        <f t="shared" si="4"/>
        <v>7128.990808133878</v>
      </c>
      <c r="O55" s="47"/>
      <c r="P55" s="51"/>
      <c r="Q55" s="35"/>
      <c r="R55" s="24"/>
      <c r="S55" s="24"/>
    </row>
    <row r="56" spans="1:19" ht="12.75">
      <c r="A56" s="22">
        <v>84</v>
      </c>
      <c r="B56" s="22" t="s">
        <v>9</v>
      </c>
      <c r="C56" s="22">
        <v>42</v>
      </c>
      <c r="D56" s="22" t="s">
        <v>11</v>
      </c>
      <c r="E56" s="22" t="s">
        <v>19</v>
      </c>
      <c r="F56" s="22">
        <v>5756</v>
      </c>
      <c r="G56" s="22">
        <v>49</v>
      </c>
      <c r="H56" s="22">
        <v>1</v>
      </c>
      <c r="I56" s="23">
        <v>200</v>
      </c>
      <c r="J56" s="20">
        <f t="shared" si="5"/>
        <v>5</v>
      </c>
      <c r="K56" s="20">
        <f t="shared" si="2"/>
        <v>282044</v>
      </c>
      <c r="L56" s="47">
        <f t="shared" si="3"/>
        <v>19233.458989841936</v>
      </c>
      <c r="M56" s="22">
        <f t="shared" si="8"/>
        <v>5756</v>
      </c>
      <c r="N56" s="47">
        <f t="shared" si="4"/>
        <v>30631.845629101277</v>
      </c>
      <c r="O56" s="47"/>
      <c r="P56" s="51"/>
      <c r="Q56" s="35"/>
      <c r="R56" s="24"/>
      <c r="S56" s="24"/>
    </row>
    <row r="57" spans="1:19" ht="12.75">
      <c r="A57" s="22">
        <v>72</v>
      </c>
      <c r="B57" s="22" t="s">
        <v>9</v>
      </c>
      <c r="C57" s="22">
        <v>20</v>
      </c>
      <c r="D57" s="22" t="s">
        <v>11</v>
      </c>
      <c r="E57" s="22" t="s">
        <v>16</v>
      </c>
      <c r="F57" s="22">
        <v>5867</v>
      </c>
      <c r="G57" s="22">
        <v>48</v>
      </c>
      <c r="H57" s="22">
        <v>2</v>
      </c>
      <c r="I57" s="23">
        <v>200</v>
      </c>
      <c r="J57" s="20">
        <f t="shared" si="5"/>
        <v>5</v>
      </c>
      <c r="K57" s="20">
        <f t="shared" si="2"/>
        <v>281616</v>
      </c>
      <c r="L57" s="47">
        <f t="shared" si="3"/>
        <v>4021.99883529182</v>
      </c>
      <c r="M57" s="22">
        <f t="shared" si="8"/>
        <v>11734</v>
      </c>
      <c r="N57" s="47">
        <f t="shared" si="4"/>
        <v>10020.553203479029</v>
      </c>
      <c r="O57" s="47"/>
      <c r="P57" s="51"/>
      <c r="Q57" s="35"/>
      <c r="R57" s="24"/>
      <c r="S57" s="24"/>
    </row>
    <row r="58" spans="1:19" ht="12.75">
      <c r="A58" s="22">
        <v>27</v>
      </c>
      <c r="B58" s="22" t="s">
        <v>9</v>
      </c>
      <c r="C58" s="22">
        <v>28</v>
      </c>
      <c r="D58" s="22" t="s">
        <v>13</v>
      </c>
      <c r="E58" s="22" t="s">
        <v>19</v>
      </c>
      <c r="F58" s="22">
        <v>443</v>
      </c>
      <c r="G58" s="22">
        <v>54</v>
      </c>
      <c r="H58" s="22">
        <v>14</v>
      </c>
      <c r="I58" s="23">
        <v>400</v>
      </c>
      <c r="J58" s="20">
        <f t="shared" si="5"/>
        <v>15</v>
      </c>
      <c r="K58" s="20">
        <f t="shared" si="2"/>
        <v>23922</v>
      </c>
      <c r="L58" s="47">
        <f t="shared" si="3"/>
        <v>20653.160905224417</v>
      </c>
      <c r="M58" s="22">
        <f t="shared" si="8"/>
        <v>6202</v>
      </c>
      <c r="N58" s="47">
        <f t="shared" si="4"/>
        <v>50653.80751478649</v>
      </c>
      <c r="O58" s="47"/>
      <c r="P58" s="51"/>
      <c r="Q58" s="35"/>
      <c r="R58" s="24"/>
      <c r="S58" s="24"/>
    </row>
    <row r="59" spans="1:19" ht="12.75">
      <c r="A59" s="22">
        <v>68</v>
      </c>
      <c r="B59" s="22" t="s">
        <v>8</v>
      </c>
      <c r="C59" s="22">
        <v>28</v>
      </c>
      <c r="D59" s="22" t="s">
        <v>13</v>
      </c>
      <c r="E59" s="22" t="s">
        <v>19</v>
      </c>
      <c r="F59" s="22">
        <v>568</v>
      </c>
      <c r="G59" s="22">
        <v>50</v>
      </c>
      <c r="H59" s="22">
        <v>10</v>
      </c>
      <c r="I59" s="23">
        <v>400</v>
      </c>
      <c r="J59" s="20">
        <f t="shared" si="5"/>
        <v>15</v>
      </c>
      <c r="K59" s="20">
        <f t="shared" si="2"/>
        <v>28400</v>
      </c>
      <c r="L59" s="47">
        <f t="shared" si="3"/>
        <v>4542.52107513431</v>
      </c>
      <c r="M59" s="22">
        <f t="shared" si="8"/>
        <v>5680</v>
      </c>
      <c r="N59" s="47">
        <f t="shared" si="4"/>
        <v>25445.13393545165</v>
      </c>
      <c r="O59" s="47"/>
      <c r="P59" s="51" t="s">
        <v>2</v>
      </c>
      <c r="Q59" s="35" t="s">
        <v>3</v>
      </c>
      <c r="R59" s="24" t="s">
        <v>119</v>
      </c>
      <c r="S59" s="17" t="s">
        <v>118</v>
      </c>
    </row>
    <row r="60" spans="1:20" ht="12.75">
      <c r="A60" s="24">
        <v>46</v>
      </c>
      <c r="B60" s="24" t="s">
        <v>9</v>
      </c>
      <c r="C60" s="24">
        <v>36</v>
      </c>
      <c r="D60" s="24" t="s">
        <v>13</v>
      </c>
      <c r="E60" s="24" t="s">
        <v>16</v>
      </c>
      <c r="F60" s="24">
        <v>576</v>
      </c>
      <c r="G60" s="24">
        <v>52</v>
      </c>
      <c r="H60" s="24">
        <v>8</v>
      </c>
      <c r="I60" s="23">
        <v>400</v>
      </c>
      <c r="J60" s="20">
        <f t="shared" si="5"/>
        <v>10</v>
      </c>
      <c r="K60" s="20">
        <f t="shared" si="2"/>
        <v>29952</v>
      </c>
      <c r="L60" s="47">
        <f t="shared" si="3"/>
        <v>13426.135767534763</v>
      </c>
      <c r="M60" s="22">
        <f t="shared" si="8"/>
        <v>4608</v>
      </c>
      <c r="N60" s="47">
        <f t="shared" si="4"/>
        <v>12686.582136692674</v>
      </c>
      <c r="O60" s="47"/>
      <c r="P60" s="75" t="s">
        <v>15</v>
      </c>
      <c r="Q60" s="45" t="s">
        <v>20</v>
      </c>
      <c r="R60" s="38">
        <v>3</v>
      </c>
      <c r="S60" s="41">
        <f>SUM(I109:I111)/R60</f>
        <v>900</v>
      </c>
      <c r="T60" s="24">
        <f>S60*R60</f>
        <v>2700</v>
      </c>
    </row>
    <row r="61" spans="1:20" ht="12.75">
      <c r="A61" s="17">
        <v>35</v>
      </c>
      <c r="B61" s="17" t="s">
        <v>9</v>
      </c>
      <c r="C61" s="17">
        <v>30</v>
      </c>
      <c r="D61" s="17" t="s">
        <v>10</v>
      </c>
      <c r="E61" s="17" t="s">
        <v>17</v>
      </c>
      <c r="F61" s="17">
        <v>608</v>
      </c>
      <c r="G61" s="17">
        <v>45</v>
      </c>
      <c r="H61" s="17">
        <v>10</v>
      </c>
      <c r="I61" s="26">
        <v>400</v>
      </c>
      <c r="J61" s="20">
        <f t="shared" si="5"/>
        <v>15</v>
      </c>
      <c r="K61" s="20">
        <f t="shared" si="2"/>
        <v>27360</v>
      </c>
      <c r="L61" s="47">
        <f t="shared" si="3"/>
        <v>2868.3787415744087</v>
      </c>
      <c r="M61" s="22">
        <f t="shared" si="8"/>
        <v>6080</v>
      </c>
      <c r="N61" s="47">
        <f t="shared" si="4"/>
        <v>27237.044775976414</v>
      </c>
      <c r="O61" s="47"/>
      <c r="P61" s="76"/>
      <c r="Q61" s="45" t="s">
        <v>19</v>
      </c>
      <c r="R61" s="39">
        <v>0</v>
      </c>
      <c r="S61" s="41" t="s">
        <v>44</v>
      </c>
      <c r="T61" s="24" t="s">
        <v>44</v>
      </c>
    </row>
    <row r="62" spans="1:20" ht="12.75">
      <c r="A62" s="22">
        <v>106</v>
      </c>
      <c r="B62" s="22" t="s">
        <v>8</v>
      </c>
      <c r="C62" s="22">
        <v>34</v>
      </c>
      <c r="D62" s="22" t="s">
        <v>10</v>
      </c>
      <c r="E62" s="22" t="s">
        <v>17</v>
      </c>
      <c r="F62" s="22">
        <v>637</v>
      </c>
      <c r="G62" s="22">
        <v>44</v>
      </c>
      <c r="H62" s="22">
        <v>10</v>
      </c>
      <c r="I62" s="23">
        <v>400</v>
      </c>
      <c r="J62" s="20">
        <f t="shared" si="5"/>
        <v>15</v>
      </c>
      <c r="K62" s="20">
        <f t="shared" si="2"/>
        <v>28028</v>
      </c>
      <c r="L62" s="47">
        <f t="shared" si="3"/>
        <v>6409.363147617274</v>
      </c>
      <c r="M62" s="22">
        <f t="shared" si="8"/>
        <v>6370</v>
      </c>
      <c r="N62" s="47">
        <f t="shared" si="4"/>
        <v>28536.18013535687</v>
      </c>
      <c r="O62" s="47"/>
      <c r="P62" s="76"/>
      <c r="Q62" s="45" t="s">
        <v>93</v>
      </c>
      <c r="R62" s="39">
        <v>0</v>
      </c>
      <c r="S62" s="41" t="s">
        <v>44</v>
      </c>
      <c r="T62" s="24" t="s">
        <v>44</v>
      </c>
    </row>
    <row r="63" spans="1:20" ht="12.75">
      <c r="A63" s="22">
        <v>29</v>
      </c>
      <c r="B63" s="22" t="s">
        <v>9</v>
      </c>
      <c r="C63" s="22">
        <v>17</v>
      </c>
      <c r="D63" s="22" t="s">
        <v>13</v>
      </c>
      <c r="E63" s="22" t="s">
        <v>17</v>
      </c>
      <c r="F63" s="22">
        <v>716</v>
      </c>
      <c r="G63" s="22">
        <v>52</v>
      </c>
      <c r="H63" s="22">
        <v>7</v>
      </c>
      <c r="I63" s="23">
        <v>400</v>
      </c>
      <c r="J63" s="20">
        <f t="shared" si="5"/>
        <v>10</v>
      </c>
      <c r="K63" s="20">
        <f t="shared" si="2"/>
        <v>37232</v>
      </c>
      <c r="L63" s="47">
        <f t="shared" si="3"/>
        <v>16689.43265547724</v>
      </c>
      <c r="M63" s="22">
        <f t="shared" si="8"/>
        <v>5012</v>
      </c>
      <c r="N63" s="47">
        <f t="shared" si="4"/>
        <v>9765.587586344911</v>
      </c>
      <c r="O63" s="47"/>
      <c r="P63" s="76"/>
      <c r="Q63" s="45" t="s">
        <v>18</v>
      </c>
      <c r="R63" s="39">
        <v>0</v>
      </c>
      <c r="S63" s="41" t="s">
        <v>44</v>
      </c>
      <c r="T63" s="24" t="s">
        <v>44</v>
      </c>
    </row>
    <row r="64" spans="1:20" ht="12.75">
      <c r="A64" s="22">
        <v>73</v>
      </c>
      <c r="B64" s="22" t="s">
        <v>8</v>
      </c>
      <c r="C64" s="22">
        <v>34</v>
      </c>
      <c r="D64" s="22" t="s">
        <v>10</v>
      </c>
      <c r="E64" s="22" t="s">
        <v>16</v>
      </c>
      <c r="F64" s="22">
        <v>895</v>
      </c>
      <c r="G64" s="22">
        <v>44</v>
      </c>
      <c r="H64" s="22">
        <v>7</v>
      </c>
      <c r="I64" s="23">
        <v>400</v>
      </c>
      <c r="J64" s="20">
        <f t="shared" si="5"/>
        <v>10</v>
      </c>
      <c r="K64" s="20">
        <f t="shared" si="2"/>
        <v>39380</v>
      </c>
      <c r="L64" s="47">
        <f t="shared" si="3"/>
        <v>9005.306149320973</v>
      </c>
      <c r="M64" s="22">
        <f t="shared" si="8"/>
        <v>6265</v>
      </c>
      <c r="N64" s="47">
        <f t="shared" si="4"/>
        <v>12206.984482931139</v>
      </c>
      <c r="O64" s="47"/>
      <c r="P64" s="76"/>
      <c r="Q64" s="45" t="s">
        <v>17</v>
      </c>
      <c r="R64" s="40">
        <v>0</v>
      </c>
      <c r="S64" s="42" t="s">
        <v>44</v>
      </c>
      <c r="T64" s="24" t="s">
        <v>44</v>
      </c>
    </row>
    <row r="65" spans="1:20" ht="12.75">
      <c r="A65" s="22">
        <v>88</v>
      </c>
      <c r="B65" s="22" t="s">
        <v>9</v>
      </c>
      <c r="C65" s="22">
        <v>38</v>
      </c>
      <c r="D65" s="22" t="s">
        <v>10</v>
      </c>
      <c r="E65" s="22" t="s">
        <v>17</v>
      </c>
      <c r="F65" s="22">
        <v>914</v>
      </c>
      <c r="G65" s="22">
        <v>45</v>
      </c>
      <c r="H65" s="22">
        <v>6</v>
      </c>
      <c r="I65" s="23">
        <v>400</v>
      </c>
      <c r="J65" s="20">
        <f t="shared" si="5"/>
        <v>10</v>
      </c>
      <c r="K65" s="20">
        <f t="shared" si="2"/>
        <v>41130</v>
      </c>
      <c r="L65" s="47">
        <f t="shared" si="3"/>
        <v>4312.003568748371</v>
      </c>
      <c r="M65" s="22">
        <f t="shared" si="8"/>
        <v>5484</v>
      </c>
      <c r="N65" s="47">
        <f t="shared" si="4"/>
        <v>6629.115325040753</v>
      </c>
      <c r="O65" s="47"/>
      <c r="P65" s="77" t="s">
        <v>14</v>
      </c>
      <c r="Q65" s="45" t="s">
        <v>20</v>
      </c>
      <c r="R65" s="38">
        <v>0</v>
      </c>
      <c r="S65" s="41" t="s">
        <v>44</v>
      </c>
      <c r="T65" s="24" t="s">
        <v>44</v>
      </c>
    </row>
    <row r="66" spans="1:20" ht="12.75">
      <c r="A66" s="22">
        <v>24</v>
      </c>
      <c r="B66" s="22" t="s">
        <v>8</v>
      </c>
      <c r="C66" s="22">
        <v>32</v>
      </c>
      <c r="D66" s="22" t="s">
        <v>10</v>
      </c>
      <c r="E66" s="22" t="s">
        <v>17</v>
      </c>
      <c r="F66" s="22">
        <v>949</v>
      </c>
      <c r="G66" s="22">
        <v>53</v>
      </c>
      <c r="H66" s="22">
        <v>5</v>
      </c>
      <c r="I66" s="23">
        <v>400</v>
      </c>
      <c r="J66" s="20">
        <f t="shared" si="5"/>
        <v>10</v>
      </c>
      <c r="K66" s="20">
        <f t="shared" si="2"/>
        <v>50297</v>
      </c>
      <c r="L66" s="47">
        <f t="shared" si="3"/>
        <v>32232.97204641526</v>
      </c>
      <c r="M66" s="22">
        <f aca="true" t="shared" si="10" ref="M66:M97">F66*H66</f>
        <v>4745</v>
      </c>
      <c r="N66" s="47">
        <f t="shared" si="4"/>
        <v>2720.435669948865</v>
      </c>
      <c r="O66" s="47"/>
      <c r="P66" s="78"/>
      <c r="Q66" s="45" t="s">
        <v>19</v>
      </c>
      <c r="R66" s="39">
        <v>0</v>
      </c>
      <c r="S66" s="41" t="s">
        <v>44</v>
      </c>
      <c r="T66" s="24" t="s">
        <v>44</v>
      </c>
    </row>
    <row r="67" spans="1:20" ht="12.75" customHeight="1">
      <c r="A67" s="22">
        <v>23</v>
      </c>
      <c r="B67" s="22" t="s">
        <v>9</v>
      </c>
      <c r="C67" s="22">
        <v>15</v>
      </c>
      <c r="D67" s="22" t="s">
        <v>15</v>
      </c>
      <c r="E67" s="22" t="s">
        <v>20</v>
      </c>
      <c r="F67" s="22">
        <v>1245</v>
      </c>
      <c r="G67" s="22">
        <v>48</v>
      </c>
      <c r="H67" s="22">
        <v>5</v>
      </c>
      <c r="I67" s="23">
        <v>400</v>
      </c>
      <c r="J67" s="20">
        <f aca="true" t="shared" si="11" ref="J67:J109">IF(H67&lt;5,5,IF(H67&lt;10,10,IF(H67&lt;15,15,IF(H67&lt;20,20,25))))</f>
        <v>10</v>
      </c>
      <c r="K67" s="20">
        <f aca="true" t="shared" si="12" ref="K67:K111">G67*F67</f>
        <v>59760</v>
      </c>
      <c r="L67" s="47">
        <f aca="true" t="shared" si="13" ref="L67:L111">((G67-$K$113)^2)*F67</f>
        <v>853.483645805065</v>
      </c>
      <c r="M67" s="22">
        <f t="shared" si="10"/>
        <v>6225</v>
      </c>
      <c r="N67" s="47">
        <f aca="true" t="shared" si="14" ref="N67:N111">((H67-$M$113)^2)*F67</f>
        <v>3568.9593351805443</v>
      </c>
      <c r="O67" s="47"/>
      <c r="P67" s="78"/>
      <c r="Q67" s="45" t="s">
        <v>93</v>
      </c>
      <c r="R67" s="39">
        <v>0</v>
      </c>
      <c r="S67" s="41" t="s">
        <v>44</v>
      </c>
      <c r="T67" s="24" t="s">
        <v>44</v>
      </c>
    </row>
    <row r="68" spans="1:20" ht="12.75" customHeight="1">
      <c r="A68" s="22">
        <v>50</v>
      </c>
      <c r="B68" s="22" t="s">
        <v>8</v>
      </c>
      <c r="C68" s="22">
        <v>61</v>
      </c>
      <c r="D68" s="22" t="s">
        <v>10</v>
      </c>
      <c r="E68" s="22" t="s">
        <v>17</v>
      </c>
      <c r="F68" s="22">
        <v>1422</v>
      </c>
      <c r="G68" s="22">
        <v>40</v>
      </c>
      <c r="H68" s="22">
        <v>5</v>
      </c>
      <c r="I68" s="23">
        <v>400</v>
      </c>
      <c r="J68" s="20">
        <f t="shared" si="11"/>
        <v>10</v>
      </c>
      <c r="K68" s="20">
        <f t="shared" si="12"/>
        <v>56880</v>
      </c>
      <c r="L68" s="47">
        <f t="shared" si="13"/>
        <v>73144.92150161591</v>
      </c>
      <c r="M68" s="22">
        <f t="shared" si="10"/>
        <v>7110</v>
      </c>
      <c r="N68" s="47">
        <f t="shared" si="14"/>
        <v>4076.3535539170557</v>
      </c>
      <c r="O68" s="47"/>
      <c r="P68" s="78"/>
      <c r="Q68" s="45" t="s">
        <v>18</v>
      </c>
      <c r="R68" s="39">
        <v>3</v>
      </c>
      <c r="S68" s="41">
        <f>SUM(I106:I108)/R68</f>
        <v>900</v>
      </c>
      <c r="T68" s="24">
        <f>S68*R68</f>
        <v>2700</v>
      </c>
    </row>
    <row r="69" spans="1:20" ht="12.75" customHeight="1">
      <c r="A69" s="22">
        <v>39</v>
      </c>
      <c r="B69" s="22" t="s">
        <v>8</v>
      </c>
      <c r="C69" s="22">
        <v>35</v>
      </c>
      <c r="D69" s="22" t="s">
        <v>10</v>
      </c>
      <c r="E69" s="22" t="s">
        <v>16</v>
      </c>
      <c r="F69" s="22">
        <v>1443</v>
      </c>
      <c r="G69" s="22">
        <v>46</v>
      </c>
      <c r="H69" s="22">
        <v>5</v>
      </c>
      <c r="I69" s="23">
        <v>400</v>
      </c>
      <c r="J69" s="20">
        <f t="shared" si="11"/>
        <v>10</v>
      </c>
      <c r="K69" s="20">
        <f t="shared" si="12"/>
        <v>66378</v>
      </c>
      <c r="L69" s="47">
        <f t="shared" si="13"/>
        <v>1982.1939867954102</v>
      </c>
      <c r="M69" s="22">
        <f t="shared" si="10"/>
        <v>7215</v>
      </c>
      <c r="N69" s="47">
        <f t="shared" si="14"/>
        <v>4136.552868004438</v>
      </c>
      <c r="O69" s="47"/>
      <c r="P69" s="78"/>
      <c r="Q69" s="45" t="s">
        <v>17</v>
      </c>
      <c r="R69" s="40">
        <v>0</v>
      </c>
      <c r="S69" s="42" t="s">
        <v>44</v>
      </c>
      <c r="T69" s="24" t="s">
        <v>44</v>
      </c>
    </row>
    <row r="70" spans="1:20" ht="12.75" customHeight="1">
      <c r="A70" s="22">
        <v>49</v>
      </c>
      <c r="B70" s="22" t="s">
        <v>8</v>
      </c>
      <c r="C70" s="22">
        <v>31</v>
      </c>
      <c r="D70" s="22" t="s">
        <v>10</v>
      </c>
      <c r="E70" s="22" t="s">
        <v>16</v>
      </c>
      <c r="F70" s="22">
        <v>1682</v>
      </c>
      <c r="G70" s="22">
        <v>43</v>
      </c>
      <c r="H70" s="22">
        <v>5</v>
      </c>
      <c r="I70" s="23">
        <v>400</v>
      </c>
      <c r="J70" s="20">
        <f t="shared" si="11"/>
        <v>10</v>
      </c>
      <c r="K70" s="20">
        <f t="shared" si="12"/>
        <v>72326</v>
      </c>
      <c r="L70" s="47">
        <f t="shared" si="13"/>
        <v>29276.658146687154</v>
      </c>
      <c r="M70" s="22">
        <f t="shared" si="10"/>
        <v>8410</v>
      </c>
      <c r="N70" s="47">
        <f t="shared" si="14"/>
        <v>4821.678394998937</v>
      </c>
      <c r="O70" s="47"/>
      <c r="P70" s="75" t="s">
        <v>10</v>
      </c>
      <c r="Q70" s="45" t="s">
        <v>20</v>
      </c>
      <c r="R70" s="39">
        <v>0</v>
      </c>
      <c r="S70" s="41" t="s">
        <v>44</v>
      </c>
      <c r="T70" s="24" t="s">
        <v>44</v>
      </c>
    </row>
    <row r="71" spans="1:20" ht="12.75" customHeight="1">
      <c r="A71" s="17">
        <v>102</v>
      </c>
      <c r="B71" s="17" t="s">
        <v>9</v>
      </c>
      <c r="C71" s="17">
        <v>23</v>
      </c>
      <c r="D71" s="17" t="s">
        <v>10</v>
      </c>
      <c r="E71" s="17" t="s">
        <v>16</v>
      </c>
      <c r="F71" s="17">
        <v>1739</v>
      </c>
      <c r="G71" s="17">
        <v>45</v>
      </c>
      <c r="H71" s="17">
        <v>4</v>
      </c>
      <c r="I71" s="26">
        <v>400</v>
      </c>
      <c r="J71" s="20">
        <f t="shared" si="11"/>
        <v>5</v>
      </c>
      <c r="K71" s="20">
        <f t="shared" si="12"/>
        <v>78255</v>
      </c>
      <c r="L71" s="47">
        <f t="shared" si="13"/>
        <v>8204.129328286015</v>
      </c>
      <c r="M71" s="22">
        <f t="shared" si="10"/>
        <v>6956</v>
      </c>
      <c r="N71" s="47">
        <f t="shared" si="14"/>
        <v>835.4270815205178</v>
      </c>
      <c r="O71" s="47"/>
      <c r="P71" s="76"/>
      <c r="Q71" s="45" t="s">
        <v>19</v>
      </c>
      <c r="R71" s="39">
        <v>0</v>
      </c>
      <c r="S71" s="41" t="s">
        <v>44</v>
      </c>
      <c r="T71" s="24" t="s">
        <v>44</v>
      </c>
    </row>
    <row r="72" spans="1:20" ht="12.75" customHeight="1">
      <c r="A72" s="22">
        <v>109</v>
      </c>
      <c r="B72" s="22" t="s">
        <v>8</v>
      </c>
      <c r="C72" s="22">
        <v>21</v>
      </c>
      <c r="D72" s="22" t="s">
        <v>13</v>
      </c>
      <c r="E72" s="22" t="s">
        <v>16</v>
      </c>
      <c r="F72" s="22">
        <v>1754</v>
      </c>
      <c r="G72" s="22">
        <v>42</v>
      </c>
      <c r="H72" s="22">
        <v>4</v>
      </c>
      <c r="I72" s="23">
        <v>400</v>
      </c>
      <c r="J72" s="20">
        <f t="shared" si="11"/>
        <v>5</v>
      </c>
      <c r="K72" s="20">
        <f t="shared" si="12"/>
        <v>73668</v>
      </c>
      <c r="L72" s="47">
        <f t="shared" si="13"/>
        <v>46919.372578885785</v>
      </c>
      <c r="M72" s="22">
        <f t="shared" si="10"/>
        <v>7016</v>
      </c>
      <c r="N72" s="47">
        <f t="shared" si="14"/>
        <v>842.63318055606</v>
      </c>
      <c r="O72" s="47"/>
      <c r="P72" s="76"/>
      <c r="Q72" s="45" t="s">
        <v>93</v>
      </c>
      <c r="R72" s="39">
        <v>21</v>
      </c>
      <c r="S72" s="41">
        <f>SUM(I85:I105)/R72</f>
        <v>823.8095238095239</v>
      </c>
      <c r="T72" s="24">
        <f>S72*R72</f>
        <v>17300</v>
      </c>
    </row>
    <row r="73" spans="1:20" ht="12.75" customHeight="1">
      <c r="A73" s="22">
        <v>8</v>
      </c>
      <c r="B73" s="22" t="s">
        <v>8</v>
      </c>
      <c r="C73" s="22">
        <v>34</v>
      </c>
      <c r="D73" s="22" t="s">
        <v>10</v>
      </c>
      <c r="E73" s="22" t="s">
        <v>16</v>
      </c>
      <c r="F73" s="22">
        <v>1779</v>
      </c>
      <c r="G73" s="22">
        <v>44</v>
      </c>
      <c r="H73" s="22">
        <v>3</v>
      </c>
      <c r="I73" s="23">
        <v>400</v>
      </c>
      <c r="J73" s="20">
        <f t="shared" si="11"/>
        <v>5</v>
      </c>
      <c r="K73" s="20">
        <f t="shared" si="12"/>
        <v>78276</v>
      </c>
      <c r="L73" s="47">
        <f t="shared" si="13"/>
        <v>17899.932558259232</v>
      </c>
      <c r="M73" s="22">
        <f t="shared" si="10"/>
        <v>5337</v>
      </c>
      <c r="N73" s="47">
        <f t="shared" si="14"/>
        <v>167.54479782803284</v>
      </c>
      <c r="O73" s="47"/>
      <c r="P73" s="76"/>
      <c r="Q73" s="45" t="s">
        <v>18</v>
      </c>
      <c r="R73" s="39">
        <v>0</v>
      </c>
      <c r="S73" s="41" t="s">
        <v>44</v>
      </c>
      <c r="T73" s="24" t="s">
        <v>44</v>
      </c>
    </row>
    <row r="74" spans="1:20" ht="12.75" customHeight="1">
      <c r="A74" s="22">
        <v>103</v>
      </c>
      <c r="B74" s="22" t="s">
        <v>9</v>
      </c>
      <c r="C74" s="22">
        <v>34</v>
      </c>
      <c r="D74" s="22" t="s">
        <v>10</v>
      </c>
      <c r="E74" s="22" t="s">
        <v>17</v>
      </c>
      <c r="F74" s="22">
        <v>1782</v>
      </c>
      <c r="G74" s="22">
        <v>55</v>
      </c>
      <c r="H74" s="22">
        <v>4</v>
      </c>
      <c r="I74" s="23">
        <v>400</v>
      </c>
      <c r="J74" s="20">
        <f t="shared" si="11"/>
        <v>5</v>
      </c>
      <c r="K74" s="20">
        <f t="shared" si="12"/>
        <v>98010</v>
      </c>
      <c r="L74" s="47">
        <f t="shared" si="13"/>
        <v>109195.72862661468</v>
      </c>
      <c r="M74" s="22">
        <f t="shared" si="10"/>
        <v>7128</v>
      </c>
      <c r="N74" s="47">
        <f t="shared" si="14"/>
        <v>856.0845654224053</v>
      </c>
      <c r="O74" s="47"/>
      <c r="P74" s="76"/>
      <c r="Q74" s="45" t="s">
        <v>17</v>
      </c>
      <c r="R74" s="40">
        <v>17</v>
      </c>
      <c r="S74" s="42">
        <f>SUM(I68:I84)/R74</f>
        <v>517.6470588235294</v>
      </c>
      <c r="T74" s="24">
        <f>S74*R74</f>
        <v>8800</v>
      </c>
    </row>
    <row r="75" spans="1:20" ht="12.75" customHeight="1">
      <c r="A75" s="22">
        <v>75</v>
      </c>
      <c r="B75" s="22" t="s">
        <v>8</v>
      </c>
      <c r="C75" s="22">
        <v>36</v>
      </c>
      <c r="D75" s="22" t="s">
        <v>10</v>
      </c>
      <c r="E75" s="22" t="s">
        <v>17</v>
      </c>
      <c r="F75" s="22">
        <v>1858</v>
      </c>
      <c r="G75" s="22">
        <v>52</v>
      </c>
      <c r="H75" s="22">
        <v>3</v>
      </c>
      <c r="I75" s="23">
        <v>400</v>
      </c>
      <c r="J75" s="20">
        <f t="shared" si="11"/>
        <v>5</v>
      </c>
      <c r="K75" s="20">
        <f t="shared" si="12"/>
        <v>96616</v>
      </c>
      <c r="L75" s="47">
        <f t="shared" si="13"/>
        <v>43308.61155569373</v>
      </c>
      <c r="M75" s="22">
        <f t="shared" si="10"/>
        <v>5574</v>
      </c>
      <c r="N75" s="47">
        <f t="shared" si="14"/>
        <v>174.98495467368465</v>
      </c>
      <c r="O75" s="47"/>
      <c r="P75" s="75" t="s">
        <v>13</v>
      </c>
      <c r="Q75" s="45" t="s">
        <v>20</v>
      </c>
      <c r="R75" s="39">
        <v>0</v>
      </c>
      <c r="S75" s="41" t="s">
        <v>44</v>
      </c>
      <c r="T75" s="24" t="s">
        <v>44</v>
      </c>
    </row>
    <row r="76" spans="1:20" ht="12.75" customHeight="1">
      <c r="A76" s="22">
        <v>12</v>
      </c>
      <c r="B76" s="22" t="s">
        <v>8</v>
      </c>
      <c r="C76" s="22">
        <v>27</v>
      </c>
      <c r="D76" s="22" t="s">
        <v>10</v>
      </c>
      <c r="E76" s="22" t="s">
        <v>16</v>
      </c>
      <c r="F76" s="22">
        <v>2043</v>
      </c>
      <c r="G76" s="22">
        <v>45</v>
      </c>
      <c r="H76" s="22">
        <v>4</v>
      </c>
      <c r="I76" s="23">
        <v>400</v>
      </c>
      <c r="J76" s="20">
        <f t="shared" si="11"/>
        <v>5</v>
      </c>
      <c r="K76" s="20">
        <f t="shared" si="12"/>
        <v>91935</v>
      </c>
      <c r="L76" s="47">
        <f t="shared" si="13"/>
        <v>9638.31869907322</v>
      </c>
      <c r="M76" s="22">
        <f t="shared" si="10"/>
        <v>8172</v>
      </c>
      <c r="N76" s="47">
        <f t="shared" si="14"/>
        <v>981.4706886408384</v>
      </c>
      <c r="O76" s="47"/>
      <c r="P76" s="76"/>
      <c r="Q76" s="45" t="s">
        <v>19</v>
      </c>
      <c r="R76" s="39">
        <v>9</v>
      </c>
      <c r="S76" s="41">
        <f>SUM(I59:I66)/R76</f>
        <v>355.55555555555554</v>
      </c>
      <c r="T76" s="24">
        <f>S76*R76</f>
        <v>3200</v>
      </c>
    </row>
    <row r="77" spans="1:23" ht="12.75" customHeight="1">
      <c r="A77" s="22">
        <v>69</v>
      </c>
      <c r="B77" s="22" t="s">
        <v>8</v>
      </c>
      <c r="C77" s="22">
        <v>23</v>
      </c>
      <c r="D77" s="22" t="s">
        <v>10</v>
      </c>
      <c r="E77" s="22" t="s">
        <v>17</v>
      </c>
      <c r="F77" s="22">
        <v>2155</v>
      </c>
      <c r="G77" s="22">
        <v>47</v>
      </c>
      <c r="H77" s="22">
        <v>2</v>
      </c>
      <c r="I77" s="23">
        <v>400</v>
      </c>
      <c r="J77" s="20">
        <f t="shared" si="11"/>
        <v>5</v>
      </c>
      <c r="K77" s="20">
        <f t="shared" si="12"/>
        <v>101285</v>
      </c>
      <c r="L77" s="47">
        <f t="shared" si="13"/>
        <v>63.77812933085711</v>
      </c>
      <c r="M77" s="22">
        <f t="shared" si="10"/>
        <v>4310</v>
      </c>
      <c r="N77" s="47">
        <f t="shared" si="14"/>
        <v>3680.636126384405</v>
      </c>
      <c r="O77" s="47"/>
      <c r="P77" s="76"/>
      <c r="Q77" s="45" t="s">
        <v>93</v>
      </c>
      <c r="R77" s="39">
        <v>13</v>
      </c>
      <c r="S77" s="41">
        <f>SUM(I46:I58)/R77</f>
        <v>215.3846153846154</v>
      </c>
      <c r="T77" s="24">
        <f>S77*R77</f>
        <v>2800</v>
      </c>
      <c r="U77" t="s">
        <v>121</v>
      </c>
      <c r="V77" s="47">
        <f>AVERAGE($I$2:$I$111)</f>
        <v>392.72727272727275</v>
      </c>
      <c r="W77" s="69">
        <f>V77/1000</f>
        <v>0.39272727272727276</v>
      </c>
    </row>
    <row r="78" spans="1:23" ht="12.75" customHeight="1">
      <c r="A78" s="22">
        <v>13</v>
      </c>
      <c r="B78" s="22" t="s">
        <v>9</v>
      </c>
      <c r="C78" s="22">
        <v>23</v>
      </c>
      <c r="D78" s="22" t="s">
        <v>11</v>
      </c>
      <c r="E78" s="22" t="s">
        <v>19</v>
      </c>
      <c r="F78" s="22">
        <v>2376</v>
      </c>
      <c r="G78" s="22">
        <v>45</v>
      </c>
      <c r="H78" s="22">
        <v>2</v>
      </c>
      <c r="I78" s="23">
        <v>400</v>
      </c>
      <c r="J78" s="20">
        <f t="shared" si="11"/>
        <v>5</v>
      </c>
      <c r="K78" s="20">
        <f t="shared" si="12"/>
        <v>106920</v>
      </c>
      <c r="L78" s="47">
        <f t="shared" si="13"/>
        <v>11209.322187468413</v>
      </c>
      <c r="M78" s="22">
        <f t="shared" si="10"/>
        <v>4752</v>
      </c>
      <c r="N78" s="47">
        <f t="shared" si="14"/>
        <v>4058.0934739161703</v>
      </c>
      <c r="O78" s="47"/>
      <c r="P78" s="76"/>
      <c r="Q78" s="45" t="s">
        <v>18</v>
      </c>
      <c r="R78" s="39">
        <v>7</v>
      </c>
      <c r="S78" s="41">
        <f>SUM(I39:I45)/R78</f>
        <v>200</v>
      </c>
      <c r="T78" s="24">
        <f>S78*R78</f>
        <v>1400</v>
      </c>
      <c r="U78" t="s">
        <v>27</v>
      </c>
      <c r="V78" s="47">
        <f>VAR($I$2:$I$111)</f>
        <v>92607.17264386988</v>
      </c>
      <c r="W78" s="69">
        <f aca="true" t="shared" si="15" ref="W78:W85">V78/1000</f>
        <v>92.60717264386989</v>
      </c>
    </row>
    <row r="79" spans="1:23" ht="12.75" customHeight="1">
      <c r="A79" s="24">
        <v>3</v>
      </c>
      <c r="B79" s="24" t="s">
        <v>9</v>
      </c>
      <c r="C79" s="24">
        <v>31</v>
      </c>
      <c r="D79" s="24" t="s">
        <v>11</v>
      </c>
      <c r="E79" s="24" t="s">
        <v>16</v>
      </c>
      <c r="F79" s="24">
        <v>5034</v>
      </c>
      <c r="G79" s="24">
        <v>49</v>
      </c>
      <c r="H79" s="24">
        <v>1</v>
      </c>
      <c r="I79" s="23">
        <v>400</v>
      </c>
      <c r="J79" s="20">
        <f t="shared" si="11"/>
        <v>5</v>
      </c>
      <c r="K79" s="20">
        <f t="shared" si="12"/>
        <v>246666</v>
      </c>
      <c r="L79" s="47">
        <f t="shared" si="13"/>
        <v>16820.922959496926</v>
      </c>
      <c r="M79" s="22">
        <f t="shared" si="10"/>
        <v>5034</v>
      </c>
      <c r="N79" s="47">
        <f t="shared" si="14"/>
        <v>26789.56061447113</v>
      </c>
      <c r="O79" s="47"/>
      <c r="P79" s="76"/>
      <c r="Q79" s="45" t="s">
        <v>17</v>
      </c>
      <c r="R79" s="40">
        <v>9</v>
      </c>
      <c r="S79" s="42">
        <f>SUM(I30:I38)/R79</f>
        <v>122.22222222222223</v>
      </c>
      <c r="T79" s="24">
        <f>S79*R79</f>
        <v>1100</v>
      </c>
      <c r="U79" t="s">
        <v>122</v>
      </c>
      <c r="V79" s="49">
        <f>SQRT((V78*99890/(110*99999)))</f>
        <v>28.99940905608874</v>
      </c>
      <c r="W79" s="69">
        <f t="shared" si="15"/>
        <v>0.02899940905608874</v>
      </c>
    </row>
    <row r="80" spans="1:23" ht="12.75" customHeight="1">
      <c r="A80" s="22">
        <v>51</v>
      </c>
      <c r="B80" s="22" t="s">
        <v>9</v>
      </c>
      <c r="C80" s="22">
        <v>48</v>
      </c>
      <c r="D80" s="22" t="s">
        <v>10</v>
      </c>
      <c r="E80" s="22" t="s">
        <v>17</v>
      </c>
      <c r="F80" s="22">
        <v>1005</v>
      </c>
      <c r="G80" s="22">
        <v>43</v>
      </c>
      <c r="H80" s="22">
        <v>7</v>
      </c>
      <c r="I80" s="23">
        <v>800</v>
      </c>
      <c r="J80" s="20">
        <f t="shared" si="11"/>
        <v>10</v>
      </c>
      <c r="K80" s="20">
        <f t="shared" si="12"/>
        <v>43215</v>
      </c>
      <c r="L80" s="47">
        <f t="shared" si="13"/>
        <v>17492.89027195041</v>
      </c>
      <c r="M80" s="22">
        <f t="shared" si="10"/>
        <v>7035</v>
      </c>
      <c r="N80" s="47">
        <f t="shared" si="14"/>
        <v>13707.28425178301</v>
      </c>
      <c r="O80" s="47"/>
      <c r="P80" s="72" t="s">
        <v>11</v>
      </c>
      <c r="Q80" s="45" t="s">
        <v>20</v>
      </c>
      <c r="R80" s="39">
        <v>0</v>
      </c>
      <c r="S80" s="41" t="s">
        <v>44</v>
      </c>
      <c r="T80" s="24" t="s">
        <v>44</v>
      </c>
      <c r="U80" t="s">
        <v>139</v>
      </c>
      <c r="V80" s="49">
        <f>1.96*V79</f>
        <v>56.838841749933934</v>
      </c>
      <c r="W80" s="69">
        <f t="shared" si="15"/>
        <v>0.056838841749933935</v>
      </c>
    </row>
    <row r="81" spans="1:23" ht="12.75" customHeight="1">
      <c r="A81" s="17">
        <v>85</v>
      </c>
      <c r="B81" s="17" t="s">
        <v>9</v>
      </c>
      <c r="C81" s="17">
        <v>36</v>
      </c>
      <c r="D81" s="17" t="s">
        <v>10</v>
      </c>
      <c r="E81" s="17" t="s">
        <v>16</v>
      </c>
      <c r="F81" s="17">
        <v>1246</v>
      </c>
      <c r="G81" s="17">
        <v>43</v>
      </c>
      <c r="H81" s="17">
        <v>5</v>
      </c>
      <c r="I81" s="26">
        <v>800</v>
      </c>
      <c r="J81" s="20">
        <f t="shared" si="11"/>
        <v>10</v>
      </c>
      <c r="K81" s="20">
        <f t="shared" si="12"/>
        <v>53578</v>
      </c>
      <c r="L81" s="47">
        <f t="shared" si="13"/>
        <v>21687.702765025086</v>
      </c>
      <c r="M81" s="22">
        <f t="shared" si="10"/>
        <v>6230</v>
      </c>
      <c r="N81" s="47">
        <f t="shared" si="14"/>
        <v>3571.8259691847056</v>
      </c>
      <c r="O81" s="47"/>
      <c r="P81" s="73"/>
      <c r="Q81" s="45" t="s">
        <v>19</v>
      </c>
      <c r="R81" s="39">
        <v>8</v>
      </c>
      <c r="S81" s="41">
        <f>SUM(I22:I29)/R81</f>
        <v>100</v>
      </c>
      <c r="T81" s="24">
        <f>S81*R81</f>
        <v>800</v>
      </c>
      <c r="U81" t="s">
        <v>140</v>
      </c>
      <c r="V81" s="49">
        <f>V77+V80</f>
        <v>449.56611447720667</v>
      </c>
      <c r="W81" s="69">
        <f t="shared" si="15"/>
        <v>0.4495661144772067</v>
      </c>
    </row>
    <row r="82" spans="1:23" ht="12.75" customHeight="1">
      <c r="A82" s="22">
        <v>92</v>
      </c>
      <c r="B82" s="22" t="s">
        <v>9</v>
      </c>
      <c r="C82" s="22">
        <v>53</v>
      </c>
      <c r="D82" s="22" t="s">
        <v>13</v>
      </c>
      <c r="E82" s="22" t="s">
        <v>16</v>
      </c>
      <c r="F82" s="22">
        <v>1273</v>
      </c>
      <c r="G82" s="22">
        <v>40</v>
      </c>
      <c r="H82" s="22">
        <v>4</v>
      </c>
      <c r="I82" s="23">
        <v>800</v>
      </c>
      <c r="J82" s="20">
        <f t="shared" si="11"/>
        <v>5</v>
      </c>
      <c r="K82" s="20">
        <f t="shared" si="12"/>
        <v>50920</v>
      </c>
      <c r="L82" s="47">
        <f t="shared" si="13"/>
        <v>65480.650542585834</v>
      </c>
      <c r="M82" s="22">
        <f t="shared" si="10"/>
        <v>5092</v>
      </c>
      <c r="N82" s="47">
        <f t="shared" si="14"/>
        <v>611.5576048163423</v>
      </c>
      <c r="O82" s="47"/>
      <c r="P82" s="73"/>
      <c r="Q82" s="45" t="s">
        <v>93</v>
      </c>
      <c r="R82" s="39">
        <v>6</v>
      </c>
      <c r="S82" s="41">
        <f>SUM(I16:I21)/R82</f>
        <v>100</v>
      </c>
      <c r="T82" s="24">
        <f>S82*R82</f>
        <v>600</v>
      </c>
      <c r="U82" t="s">
        <v>141</v>
      </c>
      <c r="V82" s="49">
        <f>V77-V80</f>
        <v>335.8884309773388</v>
      </c>
      <c r="W82" s="69">
        <f t="shared" si="15"/>
        <v>0.33588843097733884</v>
      </c>
    </row>
    <row r="83" spans="1:23" ht="12.75" customHeight="1">
      <c r="A83" s="22">
        <v>48</v>
      </c>
      <c r="B83" s="22" t="s">
        <v>8</v>
      </c>
      <c r="C83" s="22">
        <v>21</v>
      </c>
      <c r="D83" s="22" t="s">
        <v>13</v>
      </c>
      <c r="E83" s="22" t="s">
        <v>17</v>
      </c>
      <c r="F83" s="22">
        <v>1392</v>
      </c>
      <c r="G83" s="22">
        <v>50</v>
      </c>
      <c r="H83" s="22">
        <v>4</v>
      </c>
      <c r="I83" s="23">
        <v>800</v>
      </c>
      <c r="J83" s="20">
        <f t="shared" si="11"/>
        <v>5</v>
      </c>
      <c r="K83" s="20">
        <f t="shared" si="12"/>
        <v>69600</v>
      </c>
      <c r="L83" s="47">
        <f t="shared" si="13"/>
        <v>11132.375592582677</v>
      </c>
      <c r="M83" s="22">
        <f t="shared" si="10"/>
        <v>5568</v>
      </c>
      <c r="N83" s="47">
        <f t="shared" si="14"/>
        <v>668.7259904983099</v>
      </c>
      <c r="O83" s="47"/>
      <c r="P83" s="73"/>
      <c r="Q83" s="45" t="s">
        <v>18</v>
      </c>
      <c r="R83" s="39">
        <v>4</v>
      </c>
      <c r="S83" s="41">
        <f>SUM(I12:I15)/R83</f>
        <v>100</v>
      </c>
      <c r="T83" s="24">
        <f>S83*R83</f>
        <v>400</v>
      </c>
      <c r="U83" t="s">
        <v>142</v>
      </c>
      <c r="V83" s="25">
        <f>V81*100000</f>
        <v>44956611.44772067</v>
      </c>
      <c r="W83" s="41">
        <f t="shared" si="15"/>
        <v>44956.61144772067</v>
      </c>
    </row>
    <row r="84" spans="1:23" ht="12.75" customHeight="1">
      <c r="A84" s="22">
        <v>93</v>
      </c>
      <c r="B84" s="22" t="s">
        <v>8</v>
      </c>
      <c r="C84" s="22">
        <v>20</v>
      </c>
      <c r="D84" s="22" t="s">
        <v>13</v>
      </c>
      <c r="E84" s="22" t="s">
        <v>16</v>
      </c>
      <c r="F84" s="22">
        <v>1418</v>
      </c>
      <c r="G84" s="22">
        <v>41</v>
      </c>
      <c r="H84" s="22">
        <v>4</v>
      </c>
      <c r="I84" s="23">
        <v>800</v>
      </c>
      <c r="J84" s="20">
        <f t="shared" si="11"/>
        <v>5</v>
      </c>
      <c r="K84" s="20">
        <f t="shared" si="12"/>
        <v>58138</v>
      </c>
      <c r="L84" s="47">
        <f t="shared" si="13"/>
        <v>54017.2831245263</v>
      </c>
      <c r="M84" s="22">
        <f t="shared" si="10"/>
        <v>5672</v>
      </c>
      <c r="N84" s="47">
        <f t="shared" si="14"/>
        <v>681.2165621599162</v>
      </c>
      <c r="O84" s="47"/>
      <c r="P84" s="74"/>
      <c r="Q84" s="46" t="s">
        <v>17</v>
      </c>
      <c r="R84" s="40">
        <v>10</v>
      </c>
      <c r="S84" s="42">
        <f>SUM(I2:I11)/R84</f>
        <v>100</v>
      </c>
      <c r="T84" s="24">
        <f>S84*R84</f>
        <v>1000</v>
      </c>
      <c r="U84" t="s">
        <v>143</v>
      </c>
      <c r="V84" s="25">
        <f>V82*100000</f>
        <v>33588843.097733885</v>
      </c>
      <c r="W84" s="41">
        <f t="shared" si="15"/>
        <v>33588.84309773389</v>
      </c>
    </row>
    <row r="85" spans="1:23" ht="12.75" customHeight="1">
      <c r="A85" s="22">
        <v>10</v>
      </c>
      <c r="B85" s="22" t="s">
        <v>9</v>
      </c>
      <c r="C85" s="22">
        <v>22</v>
      </c>
      <c r="D85" s="22" t="s">
        <v>13</v>
      </c>
      <c r="E85" s="22" t="s">
        <v>18</v>
      </c>
      <c r="F85" s="22">
        <v>1441</v>
      </c>
      <c r="G85" s="22">
        <v>47</v>
      </c>
      <c r="H85" s="22">
        <v>5</v>
      </c>
      <c r="I85" s="23">
        <v>800</v>
      </c>
      <c r="J85" s="20">
        <f t="shared" si="11"/>
        <v>10</v>
      </c>
      <c r="K85" s="20">
        <f t="shared" si="12"/>
        <v>67727</v>
      </c>
      <c r="L85" s="47">
        <f t="shared" si="13"/>
        <v>42.64699970569146</v>
      </c>
      <c r="M85" s="22">
        <f t="shared" si="10"/>
        <v>7205</v>
      </c>
      <c r="N85" s="47">
        <f t="shared" si="14"/>
        <v>4130.819599996116</v>
      </c>
      <c r="O85" s="47"/>
      <c r="P85" s="53"/>
      <c r="Q85"/>
      <c r="R85" s="1">
        <f>SUM(R60:R84)</f>
        <v>110</v>
      </c>
      <c r="S85" s="1"/>
      <c r="T85" s="41">
        <f>SUM(T60:T84)/110</f>
        <v>389.09090909090907</v>
      </c>
      <c r="U85" s="67" t="s">
        <v>147</v>
      </c>
      <c r="V85" s="25">
        <f>V83-V84</f>
        <v>11367768.349986784</v>
      </c>
      <c r="W85" s="41">
        <f t="shared" si="15"/>
        <v>11367.768349986784</v>
      </c>
    </row>
    <row r="86" spans="1:19" ht="12.75" customHeight="1">
      <c r="A86" s="22">
        <v>53</v>
      </c>
      <c r="B86" s="22" t="s">
        <v>8</v>
      </c>
      <c r="C86" s="22">
        <v>27</v>
      </c>
      <c r="D86" s="22" t="s">
        <v>13</v>
      </c>
      <c r="E86" s="22" t="s">
        <v>17</v>
      </c>
      <c r="F86" s="22">
        <v>1505</v>
      </c>
      <c r="G86" s="22">
        <v>45</v>
      </c>
      <c r="H86" s="22">
        <v>5</v>
      </c>
      <c r="I86" s="23">
        <v>800</v>
      </c>
      <c r="J86" s="20">
        <f t="shared" si="11"/>
        <v>10</v>
      </c>
      <c r="K86" s="20">
        <f t="shared" si="12"/>
        <v>67725</v>
      </c>
      <c r="L86" s="47">
        <f t="shared" si="13"/>
        <v>7100.180931035337</v>
      </c>
      <c r="M86" s="22">
        <f t="shared" si="10"/>
        <v>7525</v>
      </c>
      <c r="N86" s="47">
        <f t="shared" si="14"/>
        <v>4314.284176262425</v>
      </c>
      <c r="O86" s="47"/>
      <c r="P86" s="53"/>
      <c r="Q86"/>
      <c r="R86"/>
      <c r="S86"/>
    </row>
    <row r="87" spans="1:19" ht="12.75" customHeight="1">
      <c r="A87" s="22">
        <v>58</v>
      </c>
      <c r="B87" s="22" t="s">
        <v>8</v>
      </c>
      <c r="C87" s="22">
        <v>30</v>
      </c>
      <c r="D87" s="22" t="s">
        <v>13</v>
      </c>
      <c r="E87" s="22" t="s">
        <v>18</v>
      </c>
      <c r="F87" s="22">
        <v>1581</v>
      </c>
      <c r="G87" s="22">
        <v>40</v>
      </c>
      <c r="H87" s="22">
        <v>4</v>
      </c>
      <c r="I87" s="23">
        <v>800</v>
      </c>
      <c r="J87" s="20">
        <f t="shared" si="11"/>
        <v>5</v>
      </c>
      <c r="K87" s="20">
        <f t="shared" si="12"/>
        <v>63240</v>
      </c>
      <c r="L87" s="47">
        <f t="shared" si="13"/>
        <v>81323.57306192318</v>
      </c>
      <c r="M87" s="22">
        <f t="shared" si="10"/>
        <v>6324</v>
      </c>
      <c r="N87" s="47">
        <f t="shared" si="14"/>
        <v>759.5228383461407</v>
      </c>
      <c r="O87" s="47"/>
      <c r="P87" s="24"/>
      <c r="Q87" s="24"/>
      <c r="R87" s="24" t="s">
        <v>132</v>
      </c>
      <c r="S87" s="24" t="s">
        <v>70</v>
      </c>
    </row>
    <row r="88" spans="1:19" ht="12.75" customHeight="1">
      <c r="A88" s="22">
        <v>19</v>
      </c>
      <c r="B88" s="22" t="s">
        <v>8</v>
      </c>
      <c r="C88" s="22">
        <v>35</v>
      </c>
      <c r="D88" s="22" t="s">
        <v>10</v>
      </c>
      <c r="E88" s="22" t="s">
        <v>17</v>
      </c>
      <c r="F88" s="22">
        <v>1603</v>
      </c>
      <c r="G88" s="22">
        <v>45</v>
      </c>
      <c r="H88" s="22">
        <v>3</v>
      </c>
      <c r="I88" s="23">
        <v>800</v>
      </c>
      <c r="J88" s="20">
        <f t="shared" si="11"/>
        <v>5</v>
      </c>
      <c r="K88" s="20">
        <f t="shared" si="12"/>
        <v>72135</v>
      </c>
      <c r="L88" s="47">
        <f t="shared" si="13"/>
        <v>7562.518293986476</v>
      </c>
      <c r="M88" s="22">
        <f t="shared" si="10"/>
        <v>4809</v>
      </c>
      <c r="N88" s="47">
        <f t="shared" si="14"/>
        <v>150.9692585263275</v>
      </c>
      <c r="O88" s="47"/>
      <c r="P88" s="24">
        <v>100</v>
      </c>
      <c r="Q88" s="24">
        <v>35</v>
      </c>
      <c r="R88" s="25">
        <f>SUM(F$2:F$36)/Q88</f>
        <v>1665.8</v>
      </c>
      <c r="S88" s="25">
        <f>((R88-$F$114)^2)*Q88</f>
        <v>1949360</v>
      </c>
    </row>
    <row r="89" spans="1:19" ht="12.75" customHeight="1">
      <c r="A89" s="22">
        <v>6</v>
      </c>
      <c r="B89" s="22" t="s">
        <v>8</v>
      </c>
      <c r="C89" s="22">
        <v>24</v>
      </c>
      <c r="D89" s="22" t="s">
        <v>10</v>
      </c>
      <c r="E89" s="22" t="s">
        <v>16</v>
      </c>
      <c r="F89" s="22">
        <v>1659</v>
      </c>
      <c r="G89" s="22">
        <v>46</v>
      </c>
      <c r="H89" s="22">
        <v>4</v>
      </c>
      <c r="I89" s="23">
        <v>800</v>
      </c>
      <c r="J89" s="20">
        <f t="shared" si="11"/>
        <v>5</v>
      </c>
      <c r="K89" s="20">
        <f t="shared" si="12"/>
        <v>76314</v>
      </c>
      <c r="L89" s="47">
        <f t="shared" si="13"/>
        <v>2278.904937001792</v>
      </c>
      <c r="M89" s="22">
        <f t="shared" si="10"/>
        <v>6636</v>
      </c>
      <c r="N89" s="47">
        <f t="shared" si="14"/>
        <v>796.9945533309598</v>
      </c>
      <c r="O89" s="47"/>
      <c r="P89" s="24">
        <v>200</v>
      </c>
      <c r="Q89" s="24">
        <v>21</v>
      </c>
      <c r="R89" s="25">
        <f>SUM(F$37:F$57)/Q89</f>
        <v>2141</v>
      </c>
      <c r="S89" s="25">
        <f>((R89-$F$114)^2)*Q89</f>
        <v>1201549.4400000004</v>
      </c>
    </row>
    <row r="90" spans="1:19" ht="12.75" customHeight="1">
      <c r="A90" s="22">
        <v>15</v>
      </c>
      <c r="B90" s="22" t="s">
        <v>8</v>
      </c>
      <c r="C90" s="22">
        <v>36</v>
      </c>
      <c r="D90" s="22" t="s">
        <v>13</v>
      </c>
      <c r="E90" s="22" t="s">
        <v>17</v>
      </c>
      <c r="F90" s="22">
        <v>1782</v>
      </c>
      <c r="G90" s="22">
        <v>42</v>
      </c>
      <c r="H90" s="22">
        <v>4</v>
      </c>
      <c r="I90" s="23">
        <v>800</v>
      </c>
      <c r="J90" s="20">
        <f t="shared" si="11"/>
        <v>5</v>
      </c>
      <c r="K90" s="20">
        <f t="shared" si="12"/>
        <v>74844</v>
      </c>
      <c r="L90" s="47">
        <f t="shared" si="13"/>
        <v>47668.370544797304</v>
      </c>
      <c r="M90" s="22">
        <f t="shared" si="10"/>
        <v>7128</v>
      </c>
      <c r="N90" s="47">
        <f t="shared" si="14"/>
        <v>856.0845654224053</v>
      </c>
      <c r="O90" s="47"/>
      <c r="P90" s="24">
        <v>400</v>
      </c>
      <c r="Q90" s="24">
        <v>22</v>
      </c>
      <c r="R90" s="25">
        <f>SUM(F$58:F$79)/Q90</f>
        <v>1482.6363636363637</v>
      </c>
      <c r="S90" s="25">
        <f>((R90-$F$114)^2)*Q90</f>
        <v>3865359.3890909064</v>
      </c>
    </row>
    <row r="91" spans="1:19" ht="12.75" customHeight="1">
      <c r="A91" s="17">
        <v>98</v>
      </c>
      <c r="B91" s="17" t="s">
        <v>8</v>
      </c>
      <c r="C91" s="17">
        <v>19</v>
      </c>
      <c r="D91" s="17" t="s">
        <v>10</v>
      </c>
      <c r="E91" s="17" t="s">
        <v>16</v>
      </c>
      <c r="F91" s="17">
        <v>1810</v>
      </c>
      <c r="G91" s="17">
        <v>43</v>
      </c>
      <c r="H91" s="17">
        <v>3</v>
      </c>
      <c r="I91" s="26">
        <v>800</v>
      </c>
      <c r="J91" s="20">
        <f t="shared" si="11"/>
        <v>5</v>
      </c>
      <c r="K91" s="20">
        <f t="shared" si="12"/>
        <v>77830</v>
      </c>
      <c r="L91" s="47">
        <f t="shared" si="13"/>
        <v>31504.608350477854</v>
      </c>
      <c r="M91" s="22">
        <f t="shared" si="10"/>
        <v>5430</v>
      </c>
      <c r="N91" s="47">
        <f t="shared" si="14"/>
        <v>170.46435304594684</v>
      </c>
      <c r="O91" s="47"/>
      <c r="P91" s="24">
        <v>800</v>
      </c>
      <c r="Q91" s="24">
        <v>21</v>
      </c>
      <c r="R91" s="25">
        <f>SUM(F$80:F$100)/Q91</f>
        <v>2389.9523809523807</v>
      </c>
      <c r="S91" s="25">
        <f>((R91-$F$114)^2)*Q91</f>
        <v>5004147.6876190435</v>
      </c>
    </row>
    <row r="92" spans="1:19" ht="12.75" customHeight="1">
      <c r="A92" s="22">
        <v>77</v>
      </c>
      <c r="B92" s="22" t="s">
        <v>8</v>
      </c>
      <c r="C92" s="22">
        <v>65</v>
      </c>
      <c r="D92" s="22" t="s">
        <v>10</v>
      </c>
      <c r="E92" s="22" t="s">
        <v>16</v>
      </c>
      <c r="F92" s="22">
        <v>1975</v>
      </c>
      <c r="G92" s="22">
        <v>44</v>
      </c>
      <c r="H92" s="22">
        <v>3</v>
      </c>
      <c r="I92" s="23">
        <v>800</v>
      </c>
      <c r="J92" s="20">
        <f t="shared" si="11"/>
        <v>5</v>
      </c>
      <c r="K92" s="20">
        <f t="shared" si="12"/>
        <v>86900</v>
      </c>
      <c r="L92" s="47">
        <f t="shared" si="13"/>
        <v>19872.044295987624</v>
      </c>
      <c r="M92" s="22">
        <f t="shared" si="10"/>
        <v>5925</v>
      </c>
      <c r="N92" s="47">
        <f t="shared" si="14"/>
        <v>186.0039211412956</v>
      </c>
      <c r="O92" s="47"/>
      <c r="P92" s="24">
        <v>900</v>
      </c>
      <c r="Q92" s="24">
        <v>11</v>
      </c>
      <c r="R92" s="25">
        <f>SUM(F$101:F$111)/Q92</f>
        <v>2102.4545454545455</v>
      </c>
      <c r="S92" s="25">
        <f>((R92-$F$114)^2)*Q92</f>
        <v>442884.7127272731</v>
      </c>
    </row>
    <row r="93" spans="1:19" ht="12.75" customHeight="1">
      <c r="A93" s="22">
        <v>33</v>
      </c>
      <c r="B93" s="22" t="s">
        <v>8</v>
      </c>
      <c r="C93" s="22">
        <v>46</v>
      </c>
      <c r="D93" s="22" t="s">
        <v>11</v>
      </c>
      <c r="E93" s="22" t="s">
        <v>18</v>
      </c>
      <c r="F93" s="22">
        <v>2043</v>
      </c>
      <c r="G93" s="22">
        <v>47</v>
      </c>
      <c r="H93" s="22">
        <v>3</v>
      </c>
      <c r="I93" s="23">
        <v>800</v>
      </c>
      <c r="J93" s="20">
        <f t="shared" si="11"/>
        <v>5</v>
      </c>
      <c r="K93" s="20">
        <f t="shared" si="12"/>
        <v>96021</v>
      </c>
      <c r="L93" s="47">
        <f t="shared" si="13"/>
        <v>60.46344233083112</v>
      </c>
      <c r="M93" s="22">
        <f t="shared" si="10"/>
        <v>6129</v>
      </c>
      <c r="N93" s="47">
        <f t="shared" si="14"/>
        <v>192.40810678059083</v>
      </c>
      <c r="O93" s="47"/>
      <c r="P93" s="24"/>
      <c r="Q93" s="24">
        <f>SUM(Q88:Q92)</f>
        <v>110</v>
      </c>
      <c r="R93" s="24"/>
      <c r="S93" s="25">
        <f>SUM(S88:S92)</f>
        <v>12463301.229437223</v>
      </c>
    </row>
    <row r="94" spans="1:19" ht="12.75" customHeight="1">
      <c r="A94" s="22">
        <v>104</v>
      </c>
      <c r="B94" s="22" t="s">
        <v>9</v>
      </c>
      <c r="C94" s="22">
        <v>26</v>
      </c>
      <c r="D94" s="22" t="s">
        <v>10</v>
      </c>
      <c r="E94" s="22" t="s">
        <v>17</v>
      </c>
      <c r="F94" s="22">
        <v>2386</v>
      </c>
      <c r="G94" s="22">
        <v>49</v>
      </c>
      <c r="H94" s="22">
        <v>3</v>
      </c>
      <c r="I94" s="23">
        <v>800</v>
      </c>
      <c r="J94" s="20">
        <f t="shared" si="11"/>
        <v>5</v>
      </c>
      <c r="K94" s="20">
        <f t="shared" si="12"/>
        <v>116914</v>
      </c>
      <c r="L94" s="47">
        <f t="shared" si="13"/>
        <v>7972.729873134617</v>
      </c>
      <c r="M94" s="22">
        <f t="shared" si="10"/>
        <v>7158</v>
      </c>
      <c r="N94" s="47">
        <f t="shared" si="14"/>
        <v>224.71157257880066</v>
      </c>
      <c r="O94" s="47"/>
      <c r="P94" s="24"/>
      <c r="Q94" s="24"/>
      <c r="R94" s="24" t="s">
        <v>71</v>
      </c>
      <c r="S94" s="24">
        <f>S93/110</f>
        <v>113302.7384494293</v>
      </c>
    </row>
    <row r="95" spans="1:19" ht="12.75" customHeight="1">
      <c r="A95" s="22">
        <v>78</v>
      </c>
      <c r="B95" s="22" t="s">
        <v>9</v>
      </c>
      <c r="C95" s="22">
        <v>21</v>
      </c>
      <c r="D95" s="22" t="s">
        <v>11</v>
      </c>
      <c r="E95" s="22" t="s">
        <v>18</v>
      </c>
      <c r="F95" s="22">
        <v>3071</v>
      </c>
      <c r="G95" s="22">
        <v>50</v>
      </c>
      <c r="H95" s="22">
        <v>2</v>
      </c>
      <c r="I95" s="23">
        <v>800</v>
      </c>
      <c r="J95" s="20">
        <f t="shared" si="11"/>
        <v>5</v>
      </c>
      <c r="K95" s="20">
        <f t="shared" si="12"/>
        <v>153550</v>
      </c>
      <c r="L95" s="47">
        <f t="shared" si="13"/>
        <v>24560.003911509626</v>
      </c>
      <c r="M95" s="22">
        <f t="shared" si="10"/>
        <v>6142</v>
      </c>
      <c r="N95" s="47">
        <f t="shared" si="14"/>
        <v>5245.119974072626</v>
      </c>
      <c r="O95" s="47"/>
      <c r="P95" s="17"/>
      <c r="Q95" s="17"/>
      <c r="R95" s="17" t="s">
        <v>73</v>
      </c>
      <c r="S95" s="17">
        <f>SQRT(S94/$F$115)</f>
        <v>0.2497808882281742</v>
      </c>
    </row>
    <row r="96" spans="1:19" ht="12.75" customHeight="1">
      <c r="A96" s="22">
        <v>61</v>
      </c>
      <c r="B96" s="22" t="s">
        <v>9</v>
      </c>
      <c r="C96" s="22">
        <v>22</v>
      </c>
      <c r="D96" s="22" t="s">
        <v>11</v>
      </c>
      <c r="E96" s="22" t="s">
        <v>18</v>
      </c>
      <c r="F96" s="22">
        <v>3708</v>
      </c>
      <c r="G96" s="22">
        <v>50</v>
      </c>
      <c r="H96" s="22">
        <v>2</v>
      </c>
      <c r="I96" s="23">
        <v>800</v>
      </c>
      <c r="J96" s="20">
        <f t="shared" si="11"/>
        <v>5</v>
      </c>
      <c r="K96" s="20">
        <f t="shared" si="12"/>
        <v>185400</v>
      </c>
      <c r="L96" s="47">
        <f t="shared" si="13"/>
        <v>29654.345328517647</v>
      </c>
      <c r="M96" s="22">
        <f t="shared" si="10"/>
        <v>7416</v>
      </c>
      <c r="N96" s="47">
        <f t="shared" si="14"/>
        <v>6333.085269899478</v>
      </c>
      <c r="O96" s="47"/>
      <c r="P96" s="24"/>
      <c r="Q96" s="24"/>
      <c r="R96" s="24" t="s">
        <v>133</v>
      </c>
      <c r="S96" s="24" t="s">
        <v>70</v>
      </c>
    </row>
    <row r="97" spans="1:19" ht="12.75" customHeight="1">
      <c r="A97" s="22">
        <v>89</v>
      </c>
      <c r="B97" s="22" t="s">
        <v>8</v>
      </c>
      <c r="C97" s="22">
        <v>31</v>
      </c>
      <c r="D97" s="22" t="s">
        <v>11</v>
      </c>
      <c r="E97" s="22" t="s">
        <v>19</v>
      </c>
      <c r="F97" s="22">
        <v>3946</v>
      </c>
      <c r="G97" s="22">
        <v>48</v>
      </c>
      <c r="H97" s="22">
        <v>2</v>
      </c>
      <c r="I97" s="23">
        <v>800</v>
      </c>
      <c r="J97" s="20">
        <f t="shared" si="11"/>
        <v>5</v>
      </c>
      <c r="K97" s="20">
        <f t="shared" si="12"/>
        <v>189408</v>
      </c>
      <c r="L97" s="47">
        <f t="shared" si="13"/>
        <v>2705.097563330752</v>
      </c>
      <c r="M97" s="22">
        <f t="shared" si="10"/>
        <v>7892</v>
      </c>
      <c r="N97" s="47">
        <f t="shared" si="14"/>
        <v>6739.5777980106095</v>
      </c>
      <c r="O97" s="47"/>
      <c r="P97" s="24">
        <v>100</v>
      </c>
      <c r="Q97" s="24">
        <v>35</v>
      </c>
      <c r="R97" s="25">
        <f>SUM(C$2:C$36)/Q97</f>
        <v>32.05714285714286</v>
      </c>
      <c r="S97" s="25">
        <f>((R97-$E$114)^2)*Q97</f>
        <v>43.965112160566605</v>
      </c>
    </row>
    <row r="98" spans="1:19" ht="12.75" customHeight="1">
      <c r="A98" s="22">
        <v>22</v>
      </c>
      <c r="B98" s="22" t="s">
        <v>9</v>
      </c>
      <c r="C98" s="22">
        <v>29</v>
      </c>
      <c r="D98" s="22" t="s">
        <v>11</v>
      </c>
      <c r="E98" s="22" t="s">
        <v>17</v>
      </c>
      <c r="F98" s="22">
        <v>4733</v>
      </c>
      <c r="G98" s="22">
        <v>51</v>
      </c>
      <c r="H98" s="22">
        <v>2</v>
      </c>
      <c r="I98" s="23">
        <v>800</v>
      </c>
      <c r="J98" s="20">
        <f t="shared" si="11"/>
        <v>5</v>
      </c>
      <c r="K98" s="20">
        <f t="shared" si="12"/>
        <v>241383</v>
      </c>
      <c r="L98" s="47">
        <f t="shared" si="13"/>
        <v>69354.21028498697</v>
      </c>
      <c r="M98" s="22">
        <f aca="true" t="shared" si="16" ref="M98:M111">F98*H98</f>
        <v>9466</v>
      </c>
      <c r="N98" s="47">
        <f t="shared" si="14"/>
        <v>8083.735863655401</v>
      </c>
      <c r="O98" s="47"/>
      <c r="P98" s="24">
        <v>200</v>
      </c>
      <c r="Q98" s="24">
        <v>21</v>
      </c>
      <c r="R98" s="25">
        <f>SUM(C$37:C$57)/Q98</f>
        <v>29.142857142857142</v>
      </c>
      <c r="S98" s="25">
        <f>((R98-$E$114)^2)*Q98</f>
        <v>67.54997638724923</v>
      </c>
    </row>
    <row r="99" spans="1:19" ht="12.75" customHeight="1">
      <c r="A99" s="22">
        <v>47</v>
      </c>
      <c r="B99" s="22" t="s">
        <v>9</v>
      </c>
      <c r="C99" s="22">
        <v>25</v>
      </c>
      <c r="D99" s="22" t="s">
        <v>11</v>
      </c>
      <c r="E99" s="22" t="s">
        <v>17</v>
      </c>
      <c r="F99" s="22">
        <v>4942</v>
      </c>
      <c r="G99" s="22">
        <v>54</v>
      </c>
      <c r="H99" s="22">
        <v>1</v>
      </c>
      <c r="I99" s="23">
        <v>800</v>
      </c>
      <c r="J99" s="20">
        <f t="shared" si="11"/>
        <v>5</v>
      </c>
      <c r="K99" s="20">
        <f t="shared" si="12"/>
        <v>266868</v>
      </c>
      <c r="L99" s="47">
        <f t="shared" si="13"/>
        <v>230401.62797656673</v>
      </c>
      <c r="M99" s="22">
        <f t="shared" si="16"/>
        <v>4942</v>
      </c>
      <c r="N99" s="47">
        <f t="shared" si="14"/>
        <v>26299.961969947624</v>
      </c>
      <c r="O99" s="47"/>
      <c r="P99" s="24">
        <v>400</v>
      </c>
      <c r="Q99" s="24">
        <v>22</v>
      </c>
      <c r="R99" s="25">
        <f>SUM(C$58:C$79)/Q99</f>
        <v>30.5</v>
      </c>
      <c r="S99" s="25">
        <f>((R99-$E$114)^2)*Q99</f>
        <v>4.189090909090929</v>
      </c>
    </row>
    <row r="100" spans="1:19" ht="12.75" customHeight="1">
      <c r="A100" s="22">
        <v>25</v>
      </c>
      <c r="B100" s="22" t="s">
        <v>8</v>
      </c>
      <c r="C100" s="22">
        <v>67</v>
      </c>
      <c r="D100" s="22" t="s">
        <v>11</v>
      </c>
      <c r="E100" s="22" t="s">
        <v>17</v>
      </c>
      <c r="F100" s="22">
        <v>5670</v>
      </c>
      <c r="G100" s="22">
        <v>49</v>
      </c>
      <c r="H100" s="22">
        <v>2</v>
      </c>
      <c r="I100" s="23">
        <v>800</v>
      </c>
      <c r="J100" s="20">
        <f t="shared" si="11"/>
        <v>5</v>
      </c>
      <c r="K100" s="20">
        <f t="shared" si="12"/>
        <v>277830</v>
      </c>
      <c r="L100" s="47">
        <f t="shared" si="13"/>
        <v>18946.093202293916</v>
      </c>
      <c r="M100" s="22">
        <f t="shared" si="16"/>
        <v>11340</v>
      </c>
      <c r="N100" s="47">
        <f t="shared" si="14"/>
        <v>9684.086699118134</v>
      </c>
      <c r="O100" s="47"/>
      <c r="P100" s="24">
        <v>800</v>
      </c>
      <c r="Q100" s="24">
        <v>21</v>
      </c>
      <c r="R100" s="25">
        <f>SUM(C$80:C$100)/Q100</f>
        <v>33.476190476190474</v>
      </c>
      <c r="S100" s="25">
        <f>((R100-$E$114)^2)*Q100</f>
        <v>135.46512790240033</v>
      </c>
    </row>
    <row r="101" spans="1:19" ht="12.75" customHeight="1">
      <c r="A101" s="17">
        <v>34</v>
      </c>
      <c r="B101" s="17" t="s">
        <v>9</v>
      </c>
      <c r="C101" s="17">
        <v>22</v>
      </c>
      <c r="D101" s="17" t="s">
        <v>13</v>
      </c>
      <c r="E101" s="17" t="s">
        <v>16</v>
      </c>
      <c r="F101" s="17">
        <v>1060</v>
      </c>
      <c r="G101" s="17">
        <v>47</v>
      </c>
      <c r="H101" s="17">
        <v>7</v>
      </c>
      <c r="I101" s="26">
        <v>900</v>
      </c>
      <c r="J101" s="20">
        <f t="shared" si="11"/>
        <v>10</v>
      </c>
      <c r="K101" s="20">
        <f t="shared" si="12"/>
        <v>49820</v>
      </c>
      <c r="L101" s="47">
        <f t="shared" si="13"/>
        <v>31.371144821674495</v>
      </c>
      <c r="M101" s="22">
        <f t="shared" si="16"/>
        <v>7420</v>
      </c>
      <c r="N101" s="47">
        <f t="shared" si="14"/>
        <v>14457.434136208945</v>
      </c>
      <c r="O101" s="47"/>
      <c r="P101" s="24">
        <v>900</v>
      </c>
      <c r="Q101" s="24">
        <v>11</v>
      </c>
      <c r="R101" s="25">
        <f>SUM(C$101:C$111)/Q101</f>
        <v>26.818181818181817</v>
      </c>
      <c r="S101" s="25">
        <f>((R101-$E$114)^2)*Q101</f>
        <v>186.55363636363663</v>
      </c>
    </row>
    <row r="102" spans="1:19" ht="12.75" customHeight="1">
      <c r="A102" s="22">
        <v>17</v>
      </c>
      <c r="B102" s="22" t="s">
        <v>9</v>
      </c>
      <c r="C102" s="22">
        <v>22</v>
      </c>
      <c r="D102" s="22" t="s">
        <v>13</v>
      </c>
      <c r="E102" s="22" t="s">
        <v>19</v>
      </c>
      <c r="F102" s="22">
        <v>1089</v>
      </c>
      <c r="G102" s="22">
        <v>40</v>
      </c>
      <c r="H102" s="22">
        <v>6</v>
      </c>
      <c r="I102" s="23">
        <v>900</v>
      </c>
      <c r="J102" s="20">
        <f t="shared" si="11"/>
        <v>10</v>
      </c>
      <c r="K102" s="20">
        <f t="shared" si="12"/>
        <v>43560</v>
      </c>
      <c r="L102" s="47">
        <f t="shared" si="13"/>
        <v>56016.0474790856</v>
      </c>
      <c r="M102" s="22">
        <f t="shared" si="16"/>
        <v>6534</v>
      </c>
      <c r="N102" s="47">
        <f t="shared" si="14"/>
        <v>7898.366071082473</v>
      </c>
      <c r="O102" s="47"/>
      <c r="P102" s="24"/>
      <c r="Q102" s="24">
        <f>SUM(Q97:Q101)</f>
        <v>110</v>
      </c>
      <c r="R102" s="24"/>
      <c r="S102" s="25">
        <f>SUM(S97:S101)</f>
        <v>437.7229437229437</v>
      </c>
    </row>
    <row r="103" spans="1:19" ht="12.75" customHeight="1">
      <c r="A103" s="22">
        <v>97</v>
      </c>
      <c r="B103" s="22" t="s">
        <v>9</v>
      </c>
      <c r="C103" s="22">
        <v>40</v>
      </c>
      <c r="D103" s="22" t="s">
        <v>13</v>
      </c>
      <c r="E103" s="22" t="s">
        <v>18</v>
      </c>
      <c r="F103" s="22">
        <v>1401</v>
      </c>
      <c r="G103" s="22">
        <v>52</v>
      </c>
      <c r="H103" s="22">
        <v>4</v>
      </c>
      <c r="I103" s="23">
        <v>900</v>
      </c>
      <c r="J103" s="20">
        <f t="shared" si="11"/>
        <v>5</v>
      </c>
      <c r="K103" s="20">
        <f t="shared" si="12"/>
        <v>72852</v>
      </c>
      <c r="L103" s="47">
        <f t="shared" si="13"/>
        <v>32656.278142910076</v>
      </c>
      <c r="M103" s="22">
        <f t="shared" si="16"/>
        <v>5604</v>
      </c>
      <c r="N103" s="47">
        <f t="shared" si="14"/>
        <v>673.0496499196352</v>
      </c>
      <c r="O103" s="47"/>
      <c r="P103" s="24"/>
      <c r="Q103" s="24"/>
      <c r="R103" s="24" t="s">
        <v>71</v>
      </c>
      <c r="S103" s="24">
        <f>S102/110</f>
        <v>3.979299488390397</v>
      </c>
    </row>
    <row r="104" spans="1:19" ht="12.75" customHeight="1">
      <c r="A104" s="22">
        <v>14</v>
      </c>
      <c r="B104" s="22" t="s">
        <v>9</v>
      </c>
      <c r="C104" s="22">
        <v>32</v>
      </c>
      <c r="D104" s="22" t="s">
        <v>13</v>
      </c>
      <c r="E104" s="22" t="s">
        <v>17</v>
      </c>
      <c r="F104" s="22">
        <v>1589</v>
      </c>
      <c r="G104" s="22">
        <v>55</v>
      </c>
      <c r="H104" s="22">
        <v>3</v>
      </c>
      <c r="I104" s="23">
        <v>900</v>
      </c>
      <c r="J104" s="20">
        <f t="shared" si="11"/>
        <v>5</v>
      </c>
      <c r="K104" s="20">
        <f t="shared" si="12"/>
        <v>87395</v>
      </c>
      <c r="L104" s="47">
        <f t="shared" si="13"/>
        <v>97369.25521194766</v>
      </c>
      <c r="M104" s="22">
        <f t="shared" si="16"/>
        <v>4767</v>
      </c>
      <c r="N104" s="47">
        <f t="shared" si="14"/>
        <v>149.6507497182373</v>
      </c>
      <c r="O104" s="47"/>
      <c r="P104" s="17"/>
      <c r="Q104" s="17"/>
      <c r="R104" s="17" t="s">
        <v>73</v>
      </c>
      <c r="S104" s="17">
        <f>SQRT(S103/$E$115)</f>
        <v>0.17950852809823734</v>
      </c>
    </row>
    <row r="105" spans="1:20" ht="12.75" customHeight="1">
      <c r="A105" s="22">
        <v>31</v>
      </c>
      <c r="B105" s="22" t="s">
        <v>9</v>
      </c>
      <c r="C105" s="22">
        <v>17</v>
      </c>
      <c r="D105" s="22" t="s">
        <v>13</v>
      </c>
      <c r="E105" s="22" t="s">
        <v>16</v>
      </c>
      <c r="F105" s="22">
        <v>1722</v>
      </c>
      <c r="G105" s="22">
        <v>48</v>
      </c>
      <c r="H105" s="22">
        <v>4</v>
      </c>
      <c r="I105" s="23">
        <v>900</v>
      </c>
      <c r="J105" s="20">
        <f t="shared" si="11"/>
        <v>5</v>
      </c>
      <c r="K105" s="20">
        <f t="shared" si="12"/>
        <v>82656</v>
      </c>
      <c r="L105" s="47">
        <f t="shared" si="13"/>
        <v>1180.4809944388126</v>
      </c>
      <c r="M105" s="22">
        <f t="shared" si="16"/>
        <v>6888</v>
      </c>
      <c r="N105" s="47">
        <f t="shared" si="14"/>
        <v>827.2601692802367</v>
      </c>
      <c r="O105" s="47"/>
      <c r="P105" s="24"/>
      <c r="Q105" s="24"/>
      <c r="R105" s="24" t="s">
        <v>134</v>
      </c>
      <c r="S105" s="24" t="s">
        <v>70</v>
      </c>
      <c r="T105" s="22"/>
    </row>
    <row r="106" spans="1:20" ht="12.75" customHeight="1">
      <c r="A106" s="22">
        <v>4</v>
      </c>
      <c r="B106" s="22" t="s">
        <v>9</v>
      </c>
      <c r="C106" s="22">
        <v>25</v>
      </c>
      <c r="D106" s="22" t="s">
        <v>11</v>
      </c>
      <c r="E106" s="22" t="s">
        <v>17</v>
      </c>
      <c r="F106" s="22">
        <v>2025</v>
      </c>
      <c r="G106" s="22">
        <v>55</v>
      </c>
      <c r="H106" s="22">
        <v>3</v>
      </c>
      <c r="I106" s="23">
        <v>900</v>
      </c>
      <c r="J106" s="20">
        <f t="shared" si="11"/>
        <v>5</v>
      </c>
      <c r="K106" s="20">
        <f t="shared" si="12"/>
        <v>111375</v>
      </c>
      <c r="L106" s="47">
        <f t="shared" si="13"/>
        <v>124086.05525751668</v>
      </c>
      <c r="M106" s="22">
        <f t="shared" si="16"/>
        <v>6075</v>
      </c>
      <c r="N106" s="47">
        <f t="shared" si="14"/>
        <v>190.71288117018915</v>
      </c>
      <c r="O106" s="47"/>
      <c r="P106" s="24">
        <v>100</v>
      </c>
      <c r="Q106" s="24">
        <v>35</v>
      </c>
      <c r="R106" s="25">
        <f>SUM(K$2:K$36)/SUM(F$2:F$36)</f>
        <v>46.56491089652334</v>
      </c>
      <c r="S106" s="25">
        <f>((R106-$K$113)^2)*Q106</f>
        <v>12.900911919211438</v>
      </c>
      <c r="T106" s="25"/>
    </row>
    <row r="107" spans="1:20" ht="12.75" customHeight="1">
      <c r="A107" s="22">
        <v>108</v>
      </c>
      <c r="B107" s="22" t="s">
        <v>9</v>
      </c>
      <c r="C107" s="22">
        <v>38</v>
      </c>
      <c r="D107" s="22" t="s">
        <v>11</v>
      </c>
      <c r="E107" s="22" t="s">
        <v>17</v>
      </c>
      <c r="F107" s="22">
        <v>2205</v>
      </c>
      <c r="G107" s="22">
        <v>55</v>
      </c>
      <c r="H107" s="22">
        <v>2</v>
      </c>
      <c r="I107" s="23">
        <v>900</v>
      </c>
      <c r="J107" s="20">
        <f t="shared" si="11"/>
        <v>5</v>
      </c>
      <c r="K107" s="20">
        <f t="shared" si="12"/>
        <v>121275</v>
      </c>
      <c r="L107" s="47">
        <f t="shared" si="13"/>
        <v>135115.9268359626</v>
      </c>
      <c r="M107" s="22">
        <f t="shared" si="16"/>
        <v>4410</v>
      </c>
      <c r="N107" s="47">
        <f t="shared" si="14"/>
        <v>3766.0337163237186</v>
      </c>
      <c r="O107" s="47"/>
      <c r="P107" s="24">
        <v>200</v>
      </c>
      <c r="Q107" s="24">
        <v>21</v>
      </c>
      <c r="R107" s="25">
        <f>SUM(K$37:K$57)/SUM(F$37:F$57)</f>
        <v>47.88307644402927</v>
      </c>
      <c r="S107" s="25">
        <f>((R107-$K$113)^2)*Q107</f>
        <v>10.617232588559826</v>
      </c>
      <c r="T107" s="48"/>
    </row>
    <row r="108" spans="1:20" ht="12.75" customHeight="1">
      <c r="A108" s="22">
        <v>56</v>
      </c>
      <c r="B108" s="22" t="s">
        <v>9</v>
      </c>
      <c r="C108" s="22">
        <v>21</v>
      </c>
      <c r="D108" s="22" t="s">
        <v>10</v>
      </c>
      <c r="E108" s="22" t="s">
        <v>17</v>
      </c>
      <c r="F108" s="22">
        <v>2227</v>
      </c>
      <c r="G108" s="22">
        <v>42</v>
      </c>
      <c r="H108" s="22">
        <v>2</v>
      </c>
      <c r="I108" s="23">
        <v>900</v>
      </c>
      <c r="J108" s="20">
        <f t="shared" si="11"/>
        <v>5</v>
      </c>
      <c r="K108" s="20">
        <f t="shared" si="12"/>
        <v>93534</v>
      </c>
      <c r="L108" s="47">
        <f t="shared" si="13"/>
        <v>59572.08821731964</v>
      </c>
      <c r="M108" s="22">
        <f t="shared" si="16"/>
        <v>4454</v>
      </c>
      <c r="N108" s="47">
        <f t="shared" si="14"/>
        <v>3803.6086558970164</v>
      </c>
      <c r="O108" s="47"/>
      <c r="P108" s="24">
        <v>400</v>
      </c>
      <c r="Q108" s="24">
        <v>22</v>
      </c>
      <c r="R108" s="25">
        <f>SUM(K$58:K$79)/SUM(F$58:F$79)</f>
        <v>46.98865656999203</v>
      </c>
      <c r="S108" s="25">
        <f>((R108-$K$113)^2)*Q108</f>
        <v>0.7397936925492524</v>
      </c>
      <c r="T108" s="25"/>
    </row>
    <row r="109" spans="1:19" ht="12.75" customHeight="1">
      <c r="A109" s="22">
        <v>86</v>
      </c>
      <c r="B109" s="22" t="s">
        <v>8</v>
      </c>
      <c r="C109" s="22">
        <v>29</v>
      </c>
      <c r="D109" s="22" t="s">
        <v>11</v>
      </c>
      <c r="E109" s="22" t="s">
        <v>17</v>
      </c>
      <c r="F109" s="22">
        <v>3018</v>
      </c>
      <c r="G109" s="22">
        <v>40</v>
      </c>
      <c r="H109" s="22">
        <v>3</v>
      </c>
      <c r="I109" s="23">
        <v>900</v>
      </c>
      <c r="J109" s="20">
        <f t="shared" si="11"/>
        <v>5</v>
      </c>
      <c r="K109" s="20">
        <f t="shared" si="12"/>
        <v>120720</v>
      </c>
      <c r="L109" s="47">
        <f t="shared" si="13"/>
        <v>155240.06546545486</v>
      </c>
      <c r="M109" s="22">
        <f t="shared" si="16"/>
        <v>9054</v>
      </c>
      <c r="N109" s="47">
        <f t="shared" si="14"/>
        <v>284.2328273440152</v>
      </c>
      <c r="O109" s="47"/>
      <c r="P109" s="24">
        <v>800</v>
      </c>
      <c r="Q109" s="24">
        <v>21</v>
      </c>
      <c r="R109" s="25">
        <f>SUM(K$80:K$100)/SUM(F$80:F$100)</f>
        <v>47.6108310585985</v>
      </c>
      <c r="S109" s="25">
        <f>((R109-$K$113)^2)*Q109</f>
        <v>4.043414895931953</v>
      </c>
    </row>
    <row r="110" spans="1:19" ht="12.75" customHeight="1">
      <c r="A110" s="22">
        <v>110</v>
      </c>
      <c r="B110" s="22" t="s">
        <v>9</v>
      </c>
      <c r="C110" s="22">
        <v>31</v>
      </c>
      <c r="D110" s="22" t="s">
        <v>11</v>
      </c>
      <c r="E110" s="22" t="s">
        <v>17</v>
      </c>
      <c r="F110" s="22">
        <v>3134</v>
      </c>
      <c r="G110" s="22">
        <v>44</v>
      </c>
      <c r="H110" s="22">
        <v>3</v>
      </c>
      <c r="I110" s="23">
        <v>900</v>
      </c>
      <c r="J110" s="20">
        <f t="shared" si="5"/>
        <v>5</v>
      </c>
      <c r="K110" s="20">
        <f t="shared" si="12"/>
        <v>137896</v>
      </c>
      <c r="L110" s="47">
        <f t="shared" si="13"/>
        <v>31533.66421449378</v>
      </c>
      <c r="M110" s="22">
        <f t="shared" si="16"/>
        <v>9402</v>
      </c>
      <c r="N110" s="47">
        <f t="shared" si="14"/>
        <v>295.1576146110483</v>
      </c>
      <c r="O110" s="47"/>
      <c r="P110" s="24">
        <v>900</v>
      </c>
      <c r="Q110" s="24">
        <v>11</v>
      </c>
      <c r="R110" s="25">
        <f>SUM(K$101:K$111)/SUM(F$101:F$111)</f>
        <v>46.62662688632334</v>
      </c>
      <c r="S110" s="25">
        <f>((R110-$K$113)^2)*Q110</f>
        <v>3.2721484381965404</v>
      </c>
    </row>
    <row r="111" spans="1:19" ht="12.75" customHeight="1">
      <c r="A111" s="22">
        <v>44</v>
      </c>
      <c r="B111" s="22" t="s">
        <v>9</v>
      </c>
      <c r="C111" s="22">
        <v>18</v>
      </c>
      <c r="D111" s="22" t="s">
        <v>11</v>
      </c>
      <c r="E111" s="22" t="s">
        <v>16</v>
      </c>
      <c r="F111" s="22">
        <v>3657</v>
      </c>
      <c r="G111" s="22">
        <v>43</v>
      </c>
      <c r="H111" s="22">
        <v>2</v>
      </c>
      <c r="I111" s="23">
        <v>900</v>
      </c>
      <c r="J111" s="20">
        <f t="shared" si="5"/>
        <v>5</v>
      </c>
      <c r="K111" s="20">
        <f t="shared" si="12"/>
        <v>157251</v>
      </c>
      <c r="L111" s="47">
        <f t="shared" si="13"/>
        <v>63653.23355673896</v>
      </c>
      <c r="M111" s="22">
        <f t="shared" si="16"/>
        <v>7314</v>
      </c>
      <c r="N111" s="47">
        <f t="shared" si="14"/>
        <v>6245.979728161378</v>
      </c>
      <c r="O111" s="47"/>
      <c r="P111" s="24"/>
      <c r="Q111" s="24">
        <f>SUM(Q106:Q110)</f>
        <v>110</v>
      </c>
      <c r="R111" s="24"/>
      <c r="S111" s="25">
        <f>SUM(S106:S110)</f>
        <v>31.57350153444901</v>
      </c>
    </row>
    <row r="112" spans="1:19" ht="12.75" customHeight="1">
      <c r="A112" s="22"/>
      <c r="B112" s="22"/>
      <c r="C112" s="22"/>
      <c r="D112" s="22"/>
      <c r="E112" s="22"/>
      <c r="F112" s="22"/>
      <c r="G112" s="22"/>
      <c r="H112" s="22"/>
      <c r="I112" s="23"/>
      <c r="J112" s="22" t="s">
        <v>149</v>
      </c>
      <c r="K112" s="22">
        <f>SUM(K2:K111)</f>
        <v>9868295</v>
      </c>
      <c r="L112" s="22">
        <f>SUM(L2:L111)</f>
        <v>3949057.6974015045</v>
      </c>
      <c r="M112" s="22">
        <f>SUM(M2:M111)</f>
        <v>691794</v>
      </c>
      <c r="N112" s="22">
        <f>SUM(N2:N111)</f>
        <v>1179135.8995975102</v>
      </c>
      <c r="P112" s="24"/>
      <c r="Q112" s="24"/>
      <c r="R112" s="24" t="s">
        <v>71</v>
      </c>
      <c r="S112" s="24">
        <f>S111/110</f>
        <v>0.28703183213135464</v>
      </c>
    </row>
    <row r="113" spans="4:19" ht="12.75" customHeight="1">
      <c r="D113" s="21" t="s">
        <v>28</v>
      </c>
      <c r="E113" s="28">
        <f>SQRT(E115)</f>
        <v>11.11266512161181</v>
      </c>
      <c r="F113" s="28">
        <f>SQRT(F115)</f>
        <v>1347.5999855672742</v>
      </c>
      <c r="G113" s="28">
        <f>SQRT(G115)</f>
        <v>4.46736848166336</v>
      </c>
      <c r="H113" s="28">
        <f>SQRT(H115)</f>
        <v>3.9424974409283307</v>
      </c>
      <c r="I113" s="33">
        <f>SQRT(I115)</f>
        <v>304.31426625097595</v>
      </c>
      <c r="J113" s="30" t="s">
        <v>121</v>
      </c>
      <c r="K113" s="47">
        <f>K112/SUM(F2:F111)</f>
        <v>47.17203319343397</v>
      </c>
      <c r="M113" s="47">
        <f>M112/SUM(F2:F111)</f>
        <v>3.306886299104198</v>
      </c>
      <c r="N113" s="47"/>
      <c r="O113" s="47"/>
      <c r="P113" s="17"/>
      <c r="Q113" s="17"/>
      <c r="R113" s="17" t="s">
        <v>73</v>
      </c>
      <c r="S113" s="17">
        <f>SQRT(S112/L$114)</f>
        <v>0.12330964747422082</v>
      </c>
    </row>
    <row r="114" spans="1:19" ht="12.75" customHeight="1">
      <c r="A114" s="29"/>
      <c r="B114" s="29"/>
      <c r="D114" s="29" t="s">
        <v>29</v>
      </c>
      <c r="E114" s="30">
        <f>AVERAGE(C2:C111)</f>
        <v>30.936363636363637</v>
      </c>
      <c r="F114" s="30">
        <f>AVERAGE(F2:F111)</f>
        <v>1901.8</v>
      </c>
      <c r="G114" s="30">
        <f>AVERAGE(G2:G111)</f>
        <v>46.736363636363635</v>
      </c>
      <c r="H114" s="30">
        <f>AVERAGE(H2:H111)</f>
        <v>5.127272727272727</v>
      </c>
      <c r="I114" s="33">
        <f>AVERAGE($I$2:$I$111)</f>
        <v>392.72727272727275</v>
      </c>
      <c r="J114" s="30" t="s">
        <v>137</v>
      </c>
      <c r="K114" s="48"/>
      <c r="L114" s="47">
        <f>L112/SUM(F2:F111)</f>
        <v>18.877129310038836</v>
      </c>
      <c r="M114" s="48">
        <f>VAR(M2:M111)*110/SUM(F2:F111)</f>
        <v>1228.6701341102516</v>
      </c>
      <c r="N114" s="47">
        <f>N112/SUM(F2:F111)</f>
        <v>5.636458759632072</v>
      </c>
      <c r="O114" s="47"/>
      <c r="P114" s="24"/>
      <c r="Q114" s="24"/>
      <c r="R114" s="24" t="s">
        <v>138</v>
      </c>
      <c r="S114" s="24" t="s">
        <v>70</v>
      </c>
    </row>
    <row r="115" spans="4:19" ht="12.75" customHeight="1">
      <c r="D115" s="21" t="s">
        <v>27</v>
      </c>
      <c r="E115" s="28">
        <f>VAR(C1:C111)</f>
        <v>123.49132610508761</v>
      </c>
      <c r="F115" s="28">
        <f>VAR(F1:F111)</f>
        <v>1816025.7211009176</v>
      </c>
      <c r="G115" s="28">
        <f>VAR(G1:G111)</f>
        <v>19.9573811509592</v>
      </c>
      <c r="H115" s="28">
        <f>VAR(H1:H111)</f>
        <v>15.543286071726437</v>
      </c>
      <c r="I115" s="33">
        <f>VAR($I$1:$I$111)</f>
        <v>92607.17264386988</v>
      </c>
      <c r="J115" s="30"/>
      <c r="K115" s="47"/>
      <c r="L115" s="48"/>
      <c r="M115" s="48"/>
      <c r="N115" s="48"/>
      <c r="O115" s="48"/>
      <c r="P115" s="24">
        <v>100</v>
      </c>
      <c r="Q115" s="24">
        <v>35</v>
      </c>
      <c r="R115" s="25">
        <f>SUM(M$2:M$36)/SUM(F$2:F$36)</f>
        <v>3.639984220366019</v>
      </c>
      <c r="S115" s="25">
        <f>((R115-$M$113)^2)*Q115</f>
        <v>3.883397880213121</v>
      </c>
    </row>
    <row r="116" spans="1:19" ht="12.75" customHeight="1">
      <c r="A116" s="24"/>
      <c r="B116" s="24"/>
      <c r="C116" s="24"/>
      <c r="D116" s="24"/>
      <c r="E116" s="24"/>
      <c r="F116" s="24">
        <f>SUM(F2:F111)</f>
        <v>209198</v>
      </c>
      <c r="G116" s="24">
        <f>SUM(G2:G111)</f>
        <v>5141</v>
      </c>
      <c r="H116" s="24">
        <f>SUM(H2:H111)</f>
        <v>564</v>
      </c>
      <c r="I116" s="23"/>
      <c r="J116" s="22"/>
      <c r="P116" s="24">
        <v>200</v>
      </c>
      <c r="Q116" s="24">
        <v>21</v>
      </c>
      <c r="R116" s="25">
        <f>SUM(M$37:M$57)/SUM(F$37:F$57)</f>
        <v>2.955917350592736</v>
      </c>
      <c r="S116" s="25">
        <f>((R116-$M$113)^2)*Q116</f>
        <v>2.586763259204063</v>
      </c>
    </row>
    <row r="117" spans="4:19" ht="12.75" customHeight="1">
      <c r="D117" s="21" t="s">
        <v>27</v>
      </c>
      <c r="F117" s="28"/>
      <c r="G117" s="28"/>
      <c r="H117" s="28"/>
      <c r="I117" s="33">
        <f>D124/110</f>
        <v>91765.28925619835</v>
      </c>
      <c r="P117" s="24">
        <v>400</v>
      </c>
      <c r="Q117" s="24">
        <v>22</v>
      </c>
      <c r="R117" s="25">
        <f>SUM(M$58:M$79)/SUM(F$58:F$79)</f>
        <v>4.098503893555706</v>
      </c>
      <c r="S117" s="25">
        <f>((R117-$M$113)^2)*Q117</f>
        <v>13.78648514859423</v>
      </c>
    </row>
    <row r="118" spans="4:19" ht="12.75" customHeight="1">
      <c r="D118" s="24"/>
      <c r="E118" s="24"/>
      <c r="P118" s="24">
        <v>800</v>
      </c>
      <c r="Q118" s="24">
        <v>21</v>
      </c>
      <c r="R118" s="25">
        <f>SUM(M$80:M$100)/SUM(F$80:F$100)</f>
        <v>2.8106557213732093</v>
      </c>
      <c r="S118" s="25">
        <f>((R118-$M$113)^2)*Q118</f>
        <v>5.171140511779844</v>
      </c>
    </row>
    <row r="119" spans="2:19" ht="12.75" customHeight="1">
      <c r="B119" s="21">
        <v>100</v>
      </c>
      <c r="C119" s="21">
        <v>35</v>
      </c>
      <c r="D119" s="21">
        <f>(B119-$I$114)^2*C119</f>
        <v>2999123.966942149</v>
      </c>
      <c r="P119" s="24">
        <v>900</v>
      </c>
      <c r="Q119" s="24">
        <v>11</v>
      </c>
      <c r="R119" s="25">
        <f>SUM(M$101:M$111)/SUM(F$101:F$111)</f>
        <v>3.109871578674277</v>
      </c>
      <c r="S119" s="25">
        <f>((R119-$M$113)^2)*Q119</f>
        <v>0.42696280072687864</v>
      </c>
    </row>
    <row r="120" spans="2:19" ht="12.75" customHeight="1">
      <c r="B120" s="21">
        <v>200</v>
      </c>
      <c r="C120" s="21">
        <v>21</v>
      </c>
      <c r="D120" s="21">
        <f>(B120-$I$114)^2*C120</f>
        <v>780019.834710744</v>
      </c>
      <c r="P120" s="24"/>
      <c r="Q120" s="24">
        <f>SUM(Q115:Q119)</f>
        <v>110</v>
      </c>
      <c r="R120" s="24"/>
      <c r="S120" s="25">
        <f>SUM(S115:S119)</f>
        <v>25.854749600518137</v>
      </c>
    </row>
    <row r="121" spans="2:19" ht="12.75" customHeight="1">
      <c r="B121" s="21">
        <v>400</v>
      </c>
      <c r="C121" s="21">
        <v>22</v>
      </c>
      <c r="D121" s="21">
        <f>(B121-$I$114)^2*C121</f>
        <v>1163.636363636357</v>
      </c>
      <c r="P121" s="24"/>
      <c r="Q121" s="24"/>
      <c r="R121" s="24" t="s">
        <v>71</v>
      </c>
      <c r="S121" s="24">
        <f>S120/110</f>
        <v>0.2350431781865285</v>
      </c>
    </row>
    <row r="122" spans="2:19" ht="12.75" customHeight="1">
      <c r="B122" s="21">
        <v>800</v>
      </c>
      <c r="C122" s="21">
        <v>21</v>
      </c>
      <c r="D122" s="21">
        <f>(B122-$I$114)^2*C122</f>
        <v>3483292.561983471</v>
      </c>
      <c r="P122" s="17"/>
      <c r="Q122" s="17"/>
      <c r="R122" s="17" t="s">
        <v>73</v>
      </c>
      <c r="S122" s="17">
        <f>SQRT(S121/N$114)</f>
        <v>0.20420701571151945</v>
      </c>
    </row>
    <row r="123" spans="2:4" ht="12.75" customHeight="1">
      <c r="B123" s="21">
        <v>900</v>
      </c>
      <c r="C123" s="21">
        <v>11</v>
      </c>
      <c r="D123" s="21">
        <f>(B123-$I$114)^2*C123</f>
        <v>2830581.818181818</v>
      </c>
    </row>
    <row r="124" ht="12.75" customHeight="1">
      <c r="D124" s="21">
        <f>SUM(D119:D123)</f>
        <v>10094181.818181818</v>
      </c>
    </row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spans="16:19" ht="12.75" customHeight="1">
      <c r="P146" s="53"/>
      <c r="Q146"/>
      <c r="R146"/>
      <c r="S146"/>
    </row>
    <row r="147" spans="16:19" ht="12.75" customHeight="1">
      <c r="P147" s="53"/>
      <c r="Q147"/>
      <c r="R147"/>
      <c r="S147"/>
    </row>
    <row r="148" spans="16:19" ht="15" customHeight="1">
      <c r="P148" s="53"/>
      <c r="Q148"/>
      <c r="R148"/>
      <c r="S148"/>
    </row>
    <row r="149" spans="16:19" ht="15" customHeight="1">
      <c r="P149" s="53"/>
      <c r="Q149"/>
      <c r="R149"/>
      <c r="S149"/>
    </row>
    <row r="150" spans="16:19" ht="15" customHeight="1">
      <c r="P150" s="53"/>
      <c r="Q150"/>
      <c r="R150"/>
      <c r="S150"/>
    </row>
    <row r="151" spans="16:19" ht="15" customHeight="1">
      <c r="P151" s="53"/>
      <c r="Q151"/>
      <c r="R151"/>
      <c r="S151"/>
    </row>
    <row r="152" spans="16:19" ht="15" customHeight="1">
      <c r="P152" s="53"/>
      <c r="Q152"/>
      <c r="R152"/>
      <c r="S152"/>
    </row>
    <row r="153" spans="16:19" ht="15" customHeight="1">
      <c r="P153" s="53"/>
      <c r="Q153"/>
      <c r="R153"/>
      <c r="S153"/>
    </row>
    <row r="154" spans="16:19" ht="15" customHeight="1">
      <c r="P154" s="53"/>
      <c r="Q154"/>
      <c r="R154"/>
      <c r="S154"/>
    </row>
    <row r="155" spans="16:19" ht="15" customHeight="1">
      <c r="P155" s="53"/>
      <c r="Q155"/>
      <c r="R155"/>
      <c r="S155"/>
    </row>
    <row r="156" spans="16:19" ht="15" customHeight="1">
      <c r="P156" s="53"/>
      <c r="Q156"/>
      <c r="R156"/>
      <c r="S156"/>
    </row>
    <row r="157" spans="16:19" ht="15" customHeight="1">
      <c r="P157" s="53"/>
      <c r="Q157"/>
      <c r="R157"/>
      <c r="S157"/>
    </row>
    <row r="158" spans="16:19" ht="15" customHeight="1">
      <c r="P158" s="53"/>
      <c r="Q158"/>
      <c r="R158"/>
      <c r="S158"/>
    </row>
    <row r="159" spans="16:19" ht="15" customHeight="1">
      <c r="P159" s="53"/>
      <c r="Q159"/>
      <c r="R159"/>
      <c r="S159"/>
    </row>
    <row r="160" spans="16:19" ht="15" customHeight="1">
      <c r="P160" s="53"/>
      <c r="Q160"/>
      <c r="R160"/>
      <c r="S160"/>
    </row>
    <row r="161" spans="16:19" ht="15" customHeight="1">
      <c r="P161" s="53"/>
      <c r="Q161"/>
      <c r="R161"/>
      <c r="S161"/>
    </row>
    <row r="162" spans="16:19" ht="15" customHeight="1">
      <c r="P162" s="53"/>
      <c r="Q162"/>
      <c r="R162"/>
      <c r="S162"/>
    </row>
    <row r="163" spans="16:19" ht="15" customHeight="1">
      <c r="P163" s="53"/>
      <c r="Q163"/>
      <c r="R163"/>
      <c r="S163"/>
    </row>
    <row r="164" spans="16:19" ht="15" customHeight="1">
      <c r="P164" s="53"/>
      <c r="Q164"/>
      <c r="R164"/>
      <c r="S164"/>
    </row>
    <row r="165" spans="16:19" ht="15" customHeight="1">
      <c r="P165" s="53"/>
      <c r="Q165"/>
      <c r="R165"/>
      <c r="S165"/>
    </row>
    <row r="166" spans="16:19" ht="15" customHeight="1">
      <c r="P166" s="53"/>
      <c r="Q166"/>
      <c r="R166"/>
      <c r="S166"/>
    </row>
    <row r="167" spans="16:19" ht="15" customHeight="1">
      <c r="P167" s="53"/>
      <c r="Q167"/>
      <c r="R167"/>
      <c r="S167"/>
    </row>
    <row r="168" spans="16:19" ht="15" customHeight="1">
      <c r="P168" s="53"/>
      <c r="Q168"/>
      <c r="R168"/>
      <c r="S168"/>
    </row>
    <row r="169" spans="16:19" ht="15" customHeight="1">
      <c r="P169" s="53"/>
      <c r="Q169"/>
      <c r="R169"/>
      <c r="S169"/>
    </row>
    <row r="170" spans="16:19" ht="15" customHeight="1">
      <c r="P170" s="53"/>
      <c r="Q170"/>
      <c r="R170"/>
      <c r="S170"/>
    </row>
    <row r="171" spans="16:19" ht="15" customHeight="1">
      <c r="P171" s="53"/>
      <c r="Q171"/>
      <c r="R171"/>
      <c r="S171"/>
    </row>
    <row r="172" spans="16:19" ht="15" customHeight="1">
      <c r="P172" s="53"/>
      <c r="Q172"/>
      <c r="R172"/>
      <c r="S172"/>
    </row>
    <row r="173" spans="16:19" ht="15" customHeight="1">
      <c r="P173" s="53"/>
      <c r="Q173"/>
      <c r="R173"/>
      <c r="S173"/>
    </row>
    <row r="174" spans="16:19" ht="15" customHeight="1">
      <c r="P174" s="53"/>
      <c r="Q174"/>
      <c r="R174"/>
      <c r="S174"/>
    </row>
    <row r="175" spans="16:19" ht="15" customHeight="1">
      <c r="P175" s="53"/>
      <c r="Q175"/>
      <c r="R175"/>
      <c r="S175"/>
    </row>
    <row r="176" spans="16:19" ht="15" customHeight="1">
      <c r="P176" s="53"/>
      <c r="Q176"/>
      <c r="R176"/>
      <c r="S176"/>
    </row>
    <row r="177" spans="16:19" ht="15" customHeight="1">
      <c r="P177" s="53"/>
      <c r="Q177"/>
      <c r="R177"/>
      <c r="S177"/>
    </row>
    <row r="178" spans="16:19" ht="15" customHeight="1">
      <c r="P178" s="53"/>
      <c r="Q178"/>
      <c r="R178"/>
      <c r="S178"/>
    </row>
    <row r="179" spans="16:19" ht="15" customHeight="1">
      <c r="P179" s="53"/>
      <c r="Q179"/>
      <c r="R179"/>
      <c r="S179"/>
    </row>
    <row r="180" spans="16:19" ht="15" customHeight="1">
      <c r="P180" s="53"/>
      <c r="Q180"/>
      <c r="R180"/>
      <c r="S180"/>
    </row>
    <row r="181" spans="16:19" ht="15" customHeight="1">
      <c r="P181" s="53"/>
      <c r="Q181"/>
      <c r="R181"/>
      <c r="S181"/>
    </row>
    <row r="182" spans="16:19" ht="15" customHeight="1">
      <c r="P182" s="53"/>
      <c r="Q182"/>
      <c r="R182"/>
      <c r="S182"/>
    </row>
    <row r="183" spans="16:19" ht="15" customHeight="1">
      <c r="P183" s="53"/>
      <c r="Q183"/>
      <c r="R183"/>
      <c r="S183"/>
    </row>
    <row r="184" spans="16:19" ht="15" customHeight="1">
      <c r="P184" s="53"/>
      <c r="Q184"/>
      <c r="R184"/>
      <c r="S184"/>
    </row>
    <row r="185" spans="16:19" ht="15" customHeight="1">
      <c r="P185" s="53"/>
      <c r="Q185"/>
      <c r="R185"/>
      <c r="S185"/>
    </row>
    <row r="186" spans="16:19" ht="12.75">
      <c r="P186" s="53"/>
      <c r="Q186"/>
      <c r="R186"/>
      <c r="S186"/>
    </row>
  </sheetData>
  <autoFilter ref="A1:N117"/>
  <mergeCells count="5">
    <mergeCell ref="P80:P84"/>
    <mergeCell ref="P60:P64"/>
    <mergeCell ref="P65:P69"/>
    <mergeCell ref="P70:P74"/>
    <mergeCell ref="P75:P79"/>
  </mergeCells>
  <printOptions/>
  <pageMargins left="0.1968503937007874" right="0.5905511811023623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zoomScale="75" zoomScaleNormal="75" workbookViewId="0" topLeftCell="B19">
      <selection activeCell="H17" sqref="H17"/>
    </sheetView>
  </sheetViews>
  <sheetFormatPr defaultColWidth="9.00390625" defaultRowHeight="12.75"/>
  <cols>
    <col min="1" max="1" width="16.375" style="10" customWidth="1"/>
    <col min="2" max="5" width="10.125" style="10" customWidth="1"/>
    <col min="6" max="6" width="12.25390625" style="10" customWidth="1"/>
    <col min="7" max="8" width="9.125" style="10" customWidth="1"/>
    <col min="9" max="9" width="11.625" style="10" bestFit="1" customWidth="1"/>
    <col min="10" max="13" width="9.125" style="10" customWidth="1"/>
    <col min="14" max="14" width="11.625" style="10" bestFit="1" customWidth="1"/>
    <col min="15" max="16384" width="9.125" style="10" customWidth="1"/>
  </cols>
  <sheetData>
    <row r="1" spans="6:7" ht="12.75">
      <c r="F1" s="82" t="s">
        <v>40</v>
      </c>
      <c r="G1" s="82"/>
    </row>
    <row r="2" spans="1:7" ht="19.5" customHeight="1">
      <c r="A2" s="81" t="s">
        <v>38</v>
      </c>
      <c r="B2" s="81"/>
      <c r="C2" s="81"/>
      <c r="D2" s="81"/>
      <c r="E2" s="81"/>
      <c r="F2" s="81"/>
      <c r="G2" s="81"/>
    </row>
    <row r="3" spans="1:7" ht="23.25" customHeight="1">
      <c r="A3" s="79" t="s">
        <v>36</v>
      </c>
      <c r="B3" s="83" t="s">
        <v>39</v>
      </c>
      <c r="C3" s="83"/>
      <c r="D3" s="83"/>
      <c r="E3" s="83"/>
      <c r="F3" s="83"/>
      <c r="G3" s="79" t="s">
        <v>34</v>
      </c>
    </row>
    <row r="4" spans="1:7" ht="16.5" customHeight="1">
      <c r="A4" s="80"/>
      <c r="B4" s="9">
        <v>100</v>
      </c>
      <c r="C4" s="9">
        <v>200</v>
      </c>
      <c r="D4" s="9">
        <v>400</v>
      </c>
      <c r="E4" s="9">
        <v>800</v>
      </c>
      <c r="F4" s="9" t="s">
        <v>37</v>
      </c>
      <c r="G4" s="80"/>
    </row>
    <row r="5" spans="1:14" ht="13.5" thickBot="1">
      <c r="A5" s="11" t="s">
        <v>35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N5" s="10" t="s">
        <v>72</v>
      </c>
    </row>
    <row r="6" spans="1:14" ht="12.75">
      <c r="A6" s="12" t="s">
        <v>9</v>
      </c>
      <c r="B6" s="12">
        <v>17</v>
      </c>
      <c r="C6" s="12">
        <v>8</v>
      </c>
      <c r="D6" s="12">
        <v>10</v>
      </c>
      <c r="E6" s="12">
        <v>9</v>
      </c>
      <c r="F6" s="12">
        <v>10</v>
      </c>
      <c r="G6" s="12">
        <f>SUM(B6:F6)</f>
        <v>54</v>
      </c>
      <c r="I6" s="10">
        <f>B6^2/(G6*B8)</f>
        <v>0.1529100529100529</v>
      </c>
      <c r="J6" s="10">
        <f>C6^2/($G6*C8)</f>
        <v>0.0564373897707231</v>
      </c>
      <c r="K6" s="10">
        <f>D6^2/($G6*D8)</f>
        <v>0.08417508417508418</v>
      </c>
      <c r="L6" s="10">
        <f>E6^2/($G6*E8)</f>
        <v>0.07142857142857142</v>
      </c>
      <c r="M6" s="10">
        <f>F6^2/($G6*F8)</f>
        <v>0.16835016835016836</v>
      </c>
      <c r="N6" s="10">
        <f>SUM(I6:M6)</f>
        <v>0.5333012666346</v>
      </c>
    </row>
    <row r="7" spans="1:14" ht="12.75">
      <c r="A7" s="9" t="s">
        <v>8</v>
      </c>
      <c r="B7" s="9">
        <v>18</v>
      </c>
      <c r="C7" s="9">
        <v>13</v>
      </c>
      <c r="D7" s="9">
        <v>12</v>
      </c>
      <c r="E7" s="9">
        <v>12</v>
      </c>
      <c r="F7" s="9">
        <v>1</v>
      </c>
      <c r="G7" s="12">
        <f>SUM(B7:F7)</f>
        <v>56</v>
      </c>
      <c r="I7" s="10">
        <f>B7^2/($G7*B8)</f>
        <v>0.1653061224489796</v>
      </c>
      <c r="J7" s="10">
        <f>C7^2/($G7*C8)</f>
        <v>0.14370748299319727</v>
      </c>
      <c r="K7" s="10">
        <f>D7^2/($G7*D8)</f>
        <v>0.11688311688311688</v>
      </c>
      <c r="L7" s="10">
        <f>E7^2/($G7*E8)</f>
        <v>0.12244897959183673</v>
      </c>
      <c r="M7" s="10">
        <f>F7^2/($G7*F8)</f>
        <v>0.0016233766233766235</v>
      </c>
      <c r="N7" s="10">
        <f>SUM(I7:M7)</f>
        <v>0.5499690785405071</v>
      </c>
    </row>
    <row r="8" spans="1:14" ht="12.75">
      <c r="A8" s="9" t="s">
        <v>34</v>
      </c>
      <c r="B8" s="9">
        <f aca="true" t="shared" si="0" ref="B8:G8">SUM(B6:B7)</f>
        <v>35</v>
      </c>
      <c r="C8" s="9">
        <f t="shared" si="0"/>
        <v>21</v>
      </c>
      <c r="D8" s="9">
        <f t="shared" si="0"/>
        <v>22</v>
      </c>
      <c r="E8" s="9">
        <f t="shared" si="0"/>
        <v>21</v>
      </c>
      <c r="F8" s="9">
        <f t="shared" si="0"/>
        <v>11</v>
      </c>
      <c r="G8" s="9">
        <f t="shared" si="0"/>
        <v>110</v>
      </c>
      <c r="M8" s="10" t="s">
        <v>72</v>
      </c>
      <c r="N8" s="10">
        <f>SUM(N6:N7)</f>
        <v>1.0832703451751071</v>
      </c>
    </row>
    <row r="9" spans="13:14" ht="12.75">
      <c r="M9" s="10" t="s">
        <v>77</v>
      </c>
      <c r="N9" s="10">
        <f>N8-1</f>
        <v>0.08327034517510712</v>
      </c>
    </row>
    <row r="10" spans="6:14" ht="12.75">
      <c r="F10" s="82" t="s">
        <v>41</v>
      </c>
      <c r="G10" s="82"/>
      <c r="M10" s="10" t="s">
        <v>78</v>
      </c>
      <c r="N10" s="10">
        <f>SQRT(N9/(1+N9))</f>
        <v>0.27725331994225466</v>
      </c>
    </row>
    <row r="11" spans="1:14" ht="12.75">
      <c r="A11" s="81" t="s">
        <v>42</v>
      </c>
      <c r="B11" s="81"/>
      <c r="C11" s="81"/>
      <c r="D11" s="81"/>
      <c r="E11" s="81"/>
      <c r="F11" s="81"/>
      <c r="G11" s="81"/>
      <c r="M11" s="32" t="s">
        <v>79</v>
      </c>
      <c r="N11" s="32">
        <f>SQRT(N9/2)</f>
        <v>0.20404698622511816</v>
      </c>
    </row>
    <row r="12" spans="1:7" ht="24.75" customHeight="1">
      <c r="A12" s="79" t="s">
        <v>43</v>
      </c>
      <c r="B12" s="83" t="s">
        <v>39</v>
      </c>
      <c r="C12" s="83"/>
      <c r="D12" s="83"/>
      <c r="E12" s="83"/>
      <c r="F12" s="83"/>
      <c r="G12" s="79" t="s">
        <v>34</v>
      </c>
    </row>
    <row r="13" spans="1:7" ht="17.25" customHeight="1">
      <c r="A13" s="80"/>
      <c r="B13" s="9">
        <v>100</v>
      </c>
      <c r="C13" s="9">
        <v>200</v>
      </c>
      <c r="D13" s="9">
        <v>400</v>
      </c>
      <c r="E13" s="9">
        <v>800</v>
      </c>
      <c r="F13" s="9" t="s">
        <v>37</v>
      </c>
      <c r="G13" s="80"/>
    </row>
    <row r="14" spans="1:7" ht="13.5" thickBot="1">
      <c r="A14" s="11" t="s">
        <v>35</v>
      </c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</row>
    <row r="15" spans="1:7" ht="12.75">
      <c r="A15" s="12" t="s">
        <v>69</v>
      </c>
      <c r="B15" s="12">
        <v>3</v>
      </c>
      <c r="C15" s="12">
        <v>3</v>
      </c>
      <c r="D15" s="12">
        <v>2</v>
      </c>
      <c r="E15" s="12">
        <v>1</v>
      </c>
      <c r="F15" s="12">
        <v>2</v>
      </c>
      <c r="G15" s="12">
        <f aca="true" t="shared" si="1" ref="G15:G20">SUM(B15:F15)</f>
        <v>11</v>
      </c>
    </row>
    <row r="16" spans="1:7" ht="12.75">
      <c r="A16" s="12" t="s">
        <v>106</v>
      </c>
      <c r="B16" s="12">
        <v>14</v>
      </c>
      <c r="C16" s="12">
        <v>10</v>
      </c>
      <c r="D16" s="12">
        <v>7</v>
      </c>
      <c r="E16" s="12">
        <v>10</v>
      </c>
      <c r="F16" s="12">
        <v>5</v>
      </c>
      <c r="G16" s="12">
        <f t="shared" si="1"/>
        <v>46</v>
      </c>
    </row>
    <row r="17" spans="1:7" ht="12.75">
      <c r="A17" s="12" t="s">
        <v>107</v>
      </c>
      <c r="B17" s="12">
        <v>12</v>
      </c>
      <c r="C17" s="12">
        <v>3</v>
      </c>
      <c r="D17" s="12">
        <v>12</v>
      </c>
      <c r="E17" s="12">
        <v>5</v>
      </c>
      <c r="F17" s="12">
        <v>3</v>
      </c>
      <c r="G17" s="12">
        <f t="shared" si="1"/>
        <v>35</v>
      </c>
    </row>
    <row r="18" spans="1:7" ht="12.75">
      <c r="A18" s="12" t="s">
        <v>108</v>
      </c>
      <c r="B18" s="12">
        <v>2</v>
      </c>
      <c r="C18" s="12">
        <v>5</v>
      </c>
      <c r="D18" s="12" t="s">
        <v>44</v>
      </c>
      <c r="E18" s="12">
        <v>2</v>
      </c>
      <c r="F18" s="12">
        <v>1</v>
      </c>
      <c r="G18" s="12">
        <f t="shared" si="1"/>
        <v>10</v>
      </c>
    </row>
    <row r="19" spans="1:7" ht="12.75">
      <c r="A19" s="12" t="s">
        <v>109</v>
      </c>
      <c r="B19" s="12">
        <v>3</v>
      </c>
      <c r="C19" s="12" t="s">
        <v>44</v>
      </c>
      <c r="D19" s="12" t="s">
        <v>44</v>
      </c>
      <c r="E19" s="12">
        <v>1</v>
      </c>
      <c r="F19" s="12" t="s">
        <v>44</v>
      </c>
      <c r="G19" s="12">
        <f t="shared" si="1"/>
        <v>4</v>
      </c>
    </row>
    <row r="20" spans="1:7" ht="12.75">
      <c r="A20" s="12" t="s">
        <v>117</v>
      </c>
      <c r="B20" s="12">
        <v>1</v>
      </c>
      <c r="C20" s="12" t="s">
        <v>44</v>
      </c>
      <c r="D20" s="12">
        <v>1</v>
      </c>
      <c r="E20" s="12">
        <v>2</v>
      </c>
      <c r="F20" s="12" t="s">
        <v>44</v>
      </c>
      <c r="G20" s="12">
        <f t="shared" si="1"/>
        <v>4</v>
      </c>
    </row>
    <row r="21" spans="1:7" ht="12.75">
      <c r="A21" s="9" t="s">
        <v>34</v>
      </c>
      <c r="B21" s="9">
        <f aca="true" t="shared" si="2" ref="B21:G21">SUM(B15:B20)</f>
        <v>35</v>
      </c>
      <c r="C21" s="9">
        <f t="shared" si="2"/>
        <v>21</v>
      </c>
      <c r="D21" s="9">
        <f t="shared" si="2"/>
        <v>22</v>
      </c>
      <c r="E21" s="9">
        <f t="shared" si="2"/>
        <v>21</v>
      </c>
      <c r="F21" s="9">
        <f t="shared" si="2"/>
        <v>11</v>
      </c>
      <c r="G21" s="9">
        <f t="shared" si="2"/>
        <v>110</v>
      </c>
    </row>
    <row r="23" spans="6:7" ht="12.75">
      <c r="F23" s="82" t="s">
        <v>45</v>
      </c>
      <c r="G23" s="82"/>
    </row>
    <row r="24" spans="1:7" ht="12.75">
      <c r="A24" s="81" t="s">
        <v>46</v>
      </c>
      <c r="B24" s="81"/>
      <c r="C24" s="81"/>
      <c r="D24" s="81"/>
      <c r="E24" s="81"/>
      <c r="F24" s="81"/>
      <c r="G24" s="81"/>
    </row>
    <row r="25" spans="1:7" ht="12.75">
      <c r="A25" s="79" t="s">
        <v>47</v>
      </c>
      <c r="B25" s="83" t="s">
        <v>39</v>
      </c>
      <c r="C25" s="83"/>
      <c r="D25" s="83"/>
      <c r="E25" s="83"/>
      <c r="F25" s="83"/>
      <c r="G25" s="79" t="s">
        <v>34</v>
      </c>
    </row>
    <row r="26" spans="1:7" ht="12.75">
      <c r="A26" s="80"/>
      <c r="B26" s="9">
        <v>100</v>
      </c>
      <c r="C26" s="9">
        <v>200</v>
      </c>
      <c r="D26" s="9">
        <v>400</v>
      </c>
      <c r="E26" s="9">
        <v>800</v>
      </c>
      <c r="F26" s="9" t="s">
        <v>37</v>
      </c>
      <c r="G26" s="80"/>
    </row>
    <row r="27" spans="1:14" ht="24" customHeight="1">
      <c r="A27" s="16" t="s">
        <v>35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N27" s="10" t="s">
        <v>72</v>
      </c>
    </row>
    <row r="28" spans="1:14" ht="12.75">
      <c r="A28" s="9" t="s">
        <v>15</v>
      </c>
      <c r="B28" s="9">
        <v>1</v>
      </c>
      <c r="C28" s="9">
        <v>1</v>
      </c>
      <c r="D28" s="9">
        <v>1</v>
      </c>
      <c r="E28" s="9" t="s">
        <v>44</v>
      </c>
      <c r="F28" s="9" t="s">
        <v>44</v>
      </c>
      <c r="G28" s="9">
        <f>SUM(B28:F28)</f>
        <v>3</v>
      </c>
      <c r="I28" s="10">
        <f>B28^2/(G28*B33)</f>
        <v>0.009523809523809525</v>
      </c>
      <c r="J28" s="10">
        <f>C28^2/($G28*C33)</f>
        <v>0.015873015873015872</v>
      </c>
      <c r="K28" s="10">
        <f>D28^2/($G28*D33)</f>
        <v>0.015151515151515152</v>
      </c>
      <c r="L28" s="10" t="e">
        <f>E28^2/($G28*E33)</f>
        <v>#VALUE!</v>
      </c>
      <c r="M28" s="10" t="e">
        <f>F28^2/($G28*F33)</f>
        <v>#VALUE!</v>
      </c>
      <c r="N28" s="10">
        <f>SUM(I28:K28)</f>
        <v>0.04054834054834055</v>
      </c>
    </row>
    <row r="29" spans="1:14" ht="12.75">
      <c r="A29" s="9" t="s">
        <v>14</v>
      </c>
      <c r="B29" s="9">
        <v>2</v>
      </c>
      <c r="C29" s="9">
        <v>1</v>
      </c>
      <c r="D29" s="9" t="s">
        <v>44</v>
      </c>
      <c r="E29" s="9" t="s">
        <v>44</v>
      </c>
      <c r="F29" s="9" t="s">
        <v>44</v>
      </c>
      <c r="G29" s="9">
        <f>SUM(B29:F29)</f>
        <v>3</v>
      </c>
      <c r="I29" s="10">
        <f>B29^2/($G29*B33)</f>
        <v>0.0380952380952381</v>
      </c>
      <c r="J29" s="10">
        <f>C29^2/($G29*C33)</f>
        <v>0.015873015873015872</v>
      </c>
      <c r="K29" s="10" t="e">
        <f>D29^2/($G29*D33)</f>
        <v>#VALUE!</v>
      </c>
      <c r="L29" s="10" t="e">
        <f>E29^2/($G29*E33)</f>
        <v>#VALUE!</v>
      </c>
      <c r="M29" s="10" t="e">
        <f>F29^2/($G29*F33)</f>
        <v>#VALUE!</v>
      </c>
      <c r="N29" s="10">
        <f>SUM(I29:J29)</f>
        <v>0.05396825396825397</v>
      </c>
    </row>
    <row r="30" spans="1:14" ht="12.75">
      <c r="A30" s="9" t="s">
        <v>10</v>
      </c>
      <c r="B30" s="9">
        <v>11</v>
      </c>
      <c r="C30" s="9">
        <v>5</v>
      </c>
      <c r="D30" s="9">
        <v>14</v>
      </c>
      <c r="E30" s="9">
        <v>7</v>
      </c>
      <c r="F30" s="9">
        <v>1</v>
      </c>
      <c r="G30" s="9">
        <f>SUM(B30:F30)</f>
        <v>38</v>
      </c>
      <c r="I30" s="10">
        <f>B30^2/($G30*B33)</f>
        <v>0.09097744360902256</v>
      </c>
      <c r="J30" s="10">
        <f>C30^2/($G30*C33)</f>
        <v>0.03132832080200501</v>
      </c>
      <c r="K30" s="10">
        <f>D30^2/($G30*D33)</f>
        <v>0.23444976076555024</v>
      </c>
      <c r="L30" s="10">
        <f>E30^2/($G30*E33)</f>
        <v>0.06140350877192982</v>
      </c>
      <c r="M30" s="10">
        <f>F30^2/($G30*F33)</f>
        <v>0.0023923444976076554</v>
      </c>
      <c r="N30" s="10">
        <f>SUM(I30:M30)</f>
        <v>0.4205513784461153</v>
      </c>
    </row>
    <row r="31" spans="1:14" ht="12.75">
      <c r="A31" s="9" t="s">
        <v>13</v>
      </c>
      <c r="B31" s="9">
        <v>13</v>
      </c>
      <c r="C31" s="9">
        <v>8</v>
      </c>
      <c r="D31" s="9">
        <v>5</v>
      </c>
      <c r="E31" s="9">
        <v>7</v>
      </c>
      <c r="F31" s="9">
        <v>5</v>
      </c>
      <c r="G31" s="9">
        <f>SUM(B31:F31)</f>
        <v>38</v>
      </c>
      <c r="I31" s="10">
        <f>B31^2/($G31*B33)</f>
        <v>0.12706766917293233</v>
      </c>
      <c r="J31" s="10">
        <f>C31^2/($G31*C33)</f>
        <v>0.08020050125313283</v>
      </c>
      <c r="K31" s="10">
        <f>D31^2/($G31*D33)</f>
        <v>0.029904306220095694</v>
      </c>
      <c r="L31" s="10">
        <f>E31^2/($G31*E33)</f>
        <v>0.06140350877192982</v>
      </c>
      <c r="M31" s="10">
        <f>F31^2/($G31*F33)</f>
        <v>0.05980861244019139</v>
      </c>
      <c r="N31" s="10">
        <f>SUM(I31:M31)</f>
        <v>0.35838459785828203</v>
      </c>
    </row>
    <row r="32" spans="1:14" ht="12.75">
      <c r="A32" s="9" t="s">
        <v>11</v>
      </c>
      <c r="B32" s="9">
        <v>8</v>
      </c>
      <c r="C32" s="9">
        <v>6</v>
      </c>
      <c r="D32" s="9">
        <v>2</v>
      </c>
      <c r="E32" s="9">
        <v>7</v>
      </c>
      <c r="F32" s="9">
        <v>5</v>
      </c>
      <c r="G32" s="9">
        <f>SUM(B32:F32)</f>
        <v>28</v>
      </c>
      <c r="I32" s="10">
        <f>B32^2/($G32*B33)</f>
        <v>0.0653061224489796</v>
      </c>
      <c r="J32" s="10">
        <f>C32^2/($G32*C33)</f>
        <v>0.061224489795918366</v>
      </c>
      <c r="K32" s="10">
        <f>D32^2/($G32*D33)</f>
        <v>0.006493506493506494</v>
      </c>
      <c r="L32" s="10">
        <f>E32^2/($G32*E33)</f>
        <v>0.08333333333333333</v>
      </c>
      <c r="M32" s="10">
        <f>F32^2/($G32*F33)</f>
        <v>0.08116883116883117</v>
      </c>
      <c r="N32" s="10">
        <f>SUM(I32:M32)</f>
        <v>0.29752628324056896</v>
      </c>
    </row>
    <row r="33" spans="1:14" ht="12.75">
      <c r="A33" s="9" t="s">
        <v>34</v>
      </c>
      <c r="B33" s="9">
        <f aca="true" t="shared" si="3" ref="B33:G33">SUM(B28:B32)</f>
        <v>35</v>
      </c>
      <c r="C33" s="9">
        <f t="shared" si="3"/>
        <v>21</v>
      </c>
      <c r="D33" s="9">
        <f t="shared" si="3"/>
        <v>22</v>
      </c>
      <c r="E33" s="9">
        <f t="shared" si="3"/>
        <v>21</v>
      </c>
      <c r="F33" s="9">
        <f t="shared" si="3"/>
        <v>11</v>
      </c>
      <c r="G33" s="9">
        <f t="shared" si="3"/>
        <v>110</v>
      </c>
      <c r="M33" s="10" t="s">
        <v>72</v>
      </c>
      <c r="N33" s="10">
        <f>SUM(N28:N32)</f>
        <v>1.1709788540615609</v>
      </c>
    </row>
    <row r="34" spans="13:14" ht="12.75" customHeight="1">
      <c r="M34" s="10" t="s">
        <v>77</v>
      </c>
      <c r="N34" s="10">
        <f>N33-1</f>
        <v>0.17097885406156088</v>
      </c>
    </row>
    <row r="35" spans="6:14" ht="12.75">
      <c r="F35" s="82" t="s">
        <v>48</v>
      </c>
      <c r="G35" s="82"/>
      <c r="M35" s="32" t="s">
        <v>78</v>
      </c>
      <c r="N35" s="32">
        <f>SQRT(N34/(1+N34))</f>
        <v>0.3821172774316023</v>
      </c>
    </row>
    <row r="36" spans="1:14" ht="12.75">
      <c r="A36" s="81" t="s">
        <v>49</v>
      </c>
      <c r="B36" s="81"/>
      <c r="C36" s="81"/>
      <c r="D36" s="81"/>
      <c r="E36" s="81"/>
      <c r="F36" s="81"/>
      <c r="G36" s="81"/>
      <c r="M36" s="10" t="s">
        <v>79</v>
      </c>
      <c r="N36" s="10">
        <f>SQRT(N34/4)</f>
        <v>0.20674794682267153</v>
      </c>
    </row>
    <row r="37" spans="1:7" ht="12.75">
      <c r="A37" s="79" t="s">
        <v>50</v>
      </c>
      <c r="B37" s="83" t="s">
        <v>39</v>
      </c>
      <c r="C37" s="83"/>
      <c r="D37" s="83"/>
      <c r="E37" s="83"/>
      <c r="F37" s="83"/>
      <c r="G37" s="79" t="s">
        <v>34</v>
      </c>
    </row>
    <row r="38" spans="1:7" ht="12.75">
      <c r="A38" s="80"/>
      <c r="B38" s="9">
        <v>100</v>
      </c>
      <c r="C38" s="9">
        <v>200</v>
      </c>
      <c r="D38" s="9">
        <v>400</v>
      </c>
      <c r="E38" s="9">
        <v>800</v>
      </c>
      <c r="F38" s="9" t="s">
        <v>37</v>
      </c>
      <c r="G38" s="80"/>
    </row>
    <row r="39" spans="1:14" ht="24" customHeight="1">
      <c r="A39" s="16" t="s">
        <v>35</v>
      </c>
      <c r="B39" s="16">
        <v>1</v>
      </c>
      <c r="C39" s="16">
        <v>2</v>
      </c>
      <c r="D39" s="16">
        <v>3</v>
      </c>
      <c r="E39" s="16">
        <v>4</v>
      </c>
      <c r="F39" s="16">
        <v>5</v>
      </c>
      <c r="G39" s="16">
        <v>6</v>
      </c>
      <c r="N39" s="10" t="s">
        <v>72</v>
      </c>
    </row>
    <row r="40" spans="1:14" ht="13.5" customHeight="1">
      <c r="A40" s="9" t="s">
        <v>20</v>
      </c>
      <c r="B40" s="9">
        <v>1</v>
      </c>
      <c r="C40" s="9">
        <v>1</v>
      </c>
      <c r="D40" s="9">
        <v>1</v>
      </c>
      <c r="E40" s="9" t="s">
        <v>44</v>
      </c>
      <c r="F40" s="9" t="s">
        <v>44</v>
      </c>
      <c r="G40" s="9">
        <f>SUM(B40:F40)</f>
        <v>3</v>
      </c>
      <c r="I40" s="10">
        <f>B40^2/($G40*B45)</f>
        <v>0.009523809523809525</v>
      </c>
      <c r="J40" s="10">
        <f>C40^2/($G40*C45)</f>
        <v>0.015873015873015872</v>
      </c>
      <c r="K40" s="10">
        <f>D40^2/($G40*D45)</f>
        <v>0.015151515151515152</v>
      </c>
      <c r="L40" s="10" t="e">
        <f>E40^2/($G40*E45)</f>
        <v>#VALUE!</v>
      </c>
      <c r="M40" s="10" t="e">
        <f>F40^2/($G40*F45)</f>
        <v>#VALUE!</v>
      </c>
      <c r="N40" s="10">
        <f>SUM(I40:K40)</f>
        <v>0.04054834054834055</v>
      </c>
    </row>
    <row r="41" spans="1:14" ht="12.75">
      <c r="A41" s="9" t="s">
        <v>19</v>
      </c>
      <c r="B41" s="9">
        <v>5</v>
      </c>
      <c r="C41" s="9">
        <v>7</v>
      </c>
      <c r="D41" s="9">
        <v>3</v>
      </c>
      <c r="E41" s="9">
        <v>1</v>
      </c>
      <c r="F41" s="9">
        <v>1</v>
      </c>
      <c r="G41" s="9">
        <f>SUM(B41:F41)</f>
        <v>17</v>
      </c>
      <c r="I41" s="10">
        <f>B41^2/($G41*B45)</f>
        <v>0.04201680672268908</v>
      </c>
      <c r="J41" s="10">
        <f>C41^2/($G41*C45)</f>
        <v>0.13725490196078433</v>
      </c>
      <c r="K41" s="10">
        <f>D41^2/($G41*D45)</f>
        <v>0.02406417112299465</v>
      </c>
      <c r="L41" s="10">
        <f>E41^2/($G41*E45)</f>
        <v>0.0028011204481792717</v>
      </c>
      <c r="M41" s="10">
        <f>F41^2/($G41*F45)</f>
        <v>0.0053475935828877</v>
      </c>
      <c r="N41" s="10">
        <f>SUM(I41:M41)</f>
        <v>0.211484593837535</v>
      </c>
    </row>
    <row r="42" spans="1:14" ht="12.75">
      <c r="A42" s="9" t="s">
        <v>51</v>
      </c>
      <c r="B42" s="9">
        <v>15</v>
      </c>
      <c r="C42" s="9">
        <v>7</v>
      </c>
      <c r="D42" s="9">
        <v>9</v>
      </c>
      <c r="E42" s="9">
        <v>6</v>
      </c>
      <c r="F42" s="9">
        <v>3</v>
      </c>
      <c r="G42" s="9">
        <f>SUM(B42:F42)</f>
        <v>40</v>
      </c>
      <c r="I42" s="10">
        <f>B42^2/($G42*B45)</f>
        <v>0.16071428571428573</v>
      </c>
      <c r="J42" s="10">
        <f>C42^2/($G42*C45)</f>
        <v>0.058333333333333334</v>
      </c>
      <c r="K42" s="10">
        <f>D42^2/($G42*D45)</f>
        <v>0.09204545454545454</v>
      </c>
      <c r="L42" s="10">
        <f>E42^2/($G42*E45)</f>
        <v>0.04285714285714286</v>
      </c>
      <c r="M42" s="10">
        <f>F42^2/($G42*F45)</f>
        <v>0.020454545454545454</v>
      </c>
      <c r="N42" s="10">
        <f>SUM(I42:M42)</f>
        <v>0.3744047619047619</v>
      </c>
    </row>
    <row r="43" spans="1:14" ht="12.75">
      <c r="A43" s="9" t="s">
        <v>18</v>
      </c>
      <c r="B43" s="9">
        <v>5</v>
      </c>
      <c r="C43" s="9">
        <v>3</v>
      </c>
      <c r="D43" s="9" t="s">
        <v>44</v>
      </c>
      <c r="E43" s="9">
        <v>5</v>
      </c>
      <c r="F43" s="9">
        <v>1</v>
      </c>
      <c r="G43" s="9">
        <f>SUM(B43:F43)</f>
        <v>14</v>
      </c>
      <c r="I43" s="10">
        <f>B43^2/($G43*B45)</f>
        <v>0.05102040816326531</v>
      </c>
      <c r="J43" s="10">
        <f>C43^2/($G43*C45)</f>
        <v>0.030612244897959183</v>
      </c>
      <c r="K43" s="10" t="e">
        <f>D43^2/($G43*D45)</f>
        <v>#VALUE!</v>
      </c>
      <c r="L43" s="10">
        <f>E43^2/($G43*E45)</f>
        <v>0.08503401360544217</v>
      </c>
      <c r="M43" s="10">
        <f>F43^2/($G43*F45)</f>
        <v>0.006493506493506494</v>
      </c>
      <c r="N43" s="10">
        <f>SUM(L43:M43)+SUM(I43:J43)</f>
        <v>0.17316017316017318</v>
      </c>
    </row>
    <row r="44" spans="1:14" ht="12.75">
      <c r="A44" s="9" t="s">
        <v>17</v>
      </c>
      <c r="B44" s="9">
        <v>9</v>
      </c>
      <c r="C44" s="9">
        <v>3</v>
      </c>
      <c r="D44" s="9">
        <v>9</v>
      </c>
      <c r="E44" s="9">
        <v>9</v>
      </c>
      <c r="F44" s="9">
        <v>6</v>
      </c>
      <c r="G44" s="9">
        <f>SUM(B44:F44)</f>
        <v>36</v>
      </c>
      <c r="I44" s="10">
        <f>B44^2/($G44*B45)</f>
        <v>0.06428571428571428</v>
      </c>
      <c r="J44" s="10">
        <f>C44^2/($G44*C45)</f>
        <v>0.011904761904761904</v>
      </c>
      <c r="K44" s="10">
        <f>D44^2/($G44*D45)</f>
        <v>0.10227272727272728</v>
      </c>
      <c r="L44" s="10">
        <f>E44^2/($G44*E45)</f>
        <v>0.10714285714285714</v>
      </c>
      <c r="M44" s="10">
        <f>F44^2/($G44*F45)</f>
        <v>0.09090909090909091</v>
      </c>
      <c r="N44" s="10">
        <f>SUM(I44:M44)</f>
        <v>0.37651515151515147</v>
      </c>
    </row>
    <row r="45" spans="1:14" ht="12.75">
      <c r="A45" s="9" t="s">
        <v>34</v>
      </c>
      <c r="B45" s="9">
        <f aca="true" t="shared" si="4" ref="B45:G45">SUM(B40:B44)</f>
        <v>35</v>
      </c>
      <c r="C45" s="9">
        <f t="shared" si="4"/>
        <v>21</v>
      </c>
      <c r="D45" s="9">
        <f t="shared" si="4"/>
        <v>22</v>
      </c>
      <c r="E45" s="9">
        <f t="shared" si="4"/>
        <v>21</v>
      </c>
      <c r="F45" s="9">
        <f t="shared" si="4"/>
        <v>11</v>
      </c>
      <c r="G45" s="9">
        <f t="shared" si="4"/>
        <v>110</v>
      </c>
      <c r="M45" s="10" t="s">
        <v>72</v>
      </c>
      <c r="N45" s="10">
        <f>SUM(N39:N44)</f>
        <v>1.1761130209659623</v>
      </c>
    </row>
    <row r="46" spans="13:14" ht="12.75">
      <c r="M46" s="10" t="s">
        <v>77</v>
      </c>
      <c r="N46" s="10">
        <f>N45-1</f>
        <v>0.17611302096596226</v>
      </c>
    </row>
    <row r="47" spans="6:14" ht="12.75">
      <c r="F47" s="82" t="s">
        <v>52</v>
      </c>
      <c r="G47" s="82"/>
      <c r="M47" s="32" t="s">
        <v>78</v>
      </c>
      <c r="N47" s="32">
        <f>SQRT(N46/(1+N46))</f>
        <v>0.38696457086596725</v>
      </c>
    </row>
    <row r="48" spans="1:14" ht="12.75">
      <c r="A48" s="81" t="s">
        <v>53</v>
      </c>
      <c r="B48" s="81"/>
      <c r="C48" s="81"/>
      <c r="D48" s="81"/>
      <c r="E48" s="81"/>
      <c r="F48" s="81"/>
      <c r="G48" s="81"/>
      <c r="M48" s="10" t="s">
        <v>79</v>
      </c>
      <c r="N48" s="10">
        <f>SQRT(N46/4)</f>
        <v>0.2098291096142062</v>
      </c>
    </row>
    <row r="49" spans="1:7" ht="12.75">
      <c r="A49" s="79" t="s">
        <v>54</v>
      </c>
      <c r="B49" s="83" t="s">
        <v>39</v>
      </c>
      <c r="C49" s="83"/>
      <c r="D49" s="83"/>
      <c r="E49" s="83"/>
      <c r="F49" s="83"/>
      <c r="G49" s="79" t="s">
        <v>34</v>
      </c>
    </row>
    <row r="50" spans="1:7" ht="12.75">
      <c r="A50" s="80"/>
      <c r="B50" s="9">
        <v>100</v>
      </c>
      <c r="C50" s="9">
        <v>200</v>
      </c>
      <c r="D50" s="9">
        <v>400</v>
      </c>
      <c r="E50" s="9">
        <v>800</v>
      </c>
      <c r="F50" s="9" t="s">
        <v>37</v>
      </c>
      <c r="G50" s="80"/>
    </row>
    <row r="51" spans="1:7" ht="13.5" thickBot="1">
      <c r="A51" s="11" t="s">
        <v>35</v>
      </c>
      <c r="B51" s="11">
        <v>1</v>
      </c>
      <c r="C51" s="11">
        <v>2</v>
      </c>
      <c r="D51" s="11">
        <v>3</v>
      </c>
      <c r="E51" s="11">
        <v>4</v>
      </c>
      <c r="F51" s="11">
        <v>5</v>
      </c>
      <c r="G51" s="11">
        <v>6</v>
      </c>
    </row>
    <row r="52" spans="1:7" ht="12.75">
      <c r="A52" s="12" t="s">
        <v>104</v>
      </c>
      <c r="B52" s="12">
        <v>15</v>
      </c>
      <c r="C52" s="12">
        <v>5</v>
      </c>
      <c r="D52" s="12">
        <v>9</v>
      </c>
      <c r="E52" s="12" t="s">
        <v>44</v>
      </c>
      <c r="F52" s="12" t="s">
        <v>44</v>
      </c>
      <c r="G52" s="12">
        <f aca="true" t="shared" si="5" ref="G52:G57">SUM(B52:F52)</f>
        <v>29</v>
      </c>
    </row>
    <row r="53" spans="1:7" ht="12.75">
      <c r="A53" s="12" t="s">
        <v>99</v>
      </c>
      <c r="B53" s="12">
        <v>9</v>
      </c>
      <c r="C53" s="12">
        <v>8</v>
      </c>
      <c r="D53" s="12">
        <v>9</v>
      </c>
      <c r="E53" s="12">
        <v>13</v>
      </c>
      <c r="F53" s="12">
        <v>5</v>
      </c>
      <c r="G53" s="12">
        <f t="shared" si="5"/>
        <v>44</v>
      </c>
    </row>
    <row r="54" spans="1:7" ht="12.75">
      <c r="A54" s="12" t="s">
        <v>100</v>
      </c>
      <c r="B54" s="12">
        <v>6</v>
      </c>
      <c r="C54" s="12">
        <v>2</v>
      </c>
      <c r="D54" s="12">
        <v>3</v>
      </c>
      <c r="E54" s="12">
        <v>2</v>
      </c>
      <c r="F54" s="12">
        <v>3</v>
      </c>
      <c r="G54" s="12">
        <f t="shared" si="5"/>
        <v>16</v>
      </c>
    </row>
    <row r="55" spans="1:7" ht="12.75">
      <c r="A55" s="12" t="s">
        <v>101</v>
      </c>
      <c r="B55" s="12">
        <v>1</v>
      </c>
      <c r="C55" s="12">
        <v>3</v>
      </c>
      <c r="D55" s="12" t="s">
        <v>44</v>
      </c>
      <c r="E55" s="12">
        <v>3</v>
      </c>
      <c r="F55" s="12">
        <v>3</v>
      </c>
      <c r="G55" s="12">
        <f t="shared" si="5"/>
        <v>10</v>
      </c>
    </row>
    <row r="56" spans="1:7" ht="12.75">
      <c r="A56" s="12" t="s">
        <v>102</v>
      </c>
      <c r="B56" s="12">
        <v>3</v>
      </c>
      <c r="C56" s="12">
        <v>1</v>
      </c>
      <c r="D56" s="12" t="s">
        <v>44</v>
      </c>
      <c r="E56" s="12">
        <v>2</v>
      </c>
      <c r="F56" s="12" t="s">
        <v>44</v>
      </c>
      <c r="G56" s="12">
        <f t="shared" si="5"/>
        <v>6</v>
      </c>
    </row>
    <row r="57" spans="1:7" ht="12.75">
      <c r="A57" s="12" t="s">
        <v>105</v>
      </c>
      <c r="B57" s="12">
        <v>1</v>
      </c>
      <c r="C57" s="12">
        <v>2</v>
      </c>
      <c r="D57" s="12">
        <v>1</v>
      </c>
      <c r="E57" s="12">
        <v>1</v>
      </c>
      <c r="F57" s="12" t="s">
        <v>44</v>
      </c>
      <c r="G57" s="12">
        <f t="shared" si="5"/>
        <v>5</v>
      </c>
    </row>
    <row r="58" spans="1:7" ht="12.75">
      <c r="A58" s="9" t="s">
        <v>34</v>
      </c>
      <c r="B58" s="9">
        <f aca="true" t="shared" si="6" ref="B58:G58">SUM(B52:B57)</f>
        <v>35</v>
      </c>
      <c r="C58" s="9">
        <f t="shared" si="6"/>
        <v>21</v>
      </c>
      <c r="D58" s="9">
        <f t="shared" si="6"/>
        <v>22</v>
      </c>
      <c r="E58" s="9">
        <f t="shared" si="6"/>
        <v>21</v>
      </c>
      <c r="F58" s="9">
        <f t="shared" si="6"/>
        <v>11</v>
      </c>
      <c r="G58" s="9">
        <f t="shared" si="6"/>
        <v>110</v>
      </c>
    </row>
    <row r="60" spans="6:7" ht="12.75">
      <c r="F60" s="82" t="s">
        <v>55</v>
      </c>
      <c r="G60" s="82"/>
    </row>
    <row r="61" spans="1:7" ht="12.75">
      <c r="A61" s="81" t="s">
        <v>56</v>
      </c>
      <c r="B61" s="81"/>
      <c r="C61" s="81"/>
      <c r="D61" s="81"/>
      <c r="E61" s="81"/>
      <c r="F61" s="81"/>
      <c r="G61" s="81"/>
    </row>
    <row r="62" spans="1:7" ht="12.75">
      <c r="A62" s="79" t="s">
        <v>57</v>
      </c>
      <c r="B62" s="83" t="s">
        <v>39</v>
      </c>
      <c r="C62" s="83"/>
      <c r="D62" s="83"/>
      <c r="E62" s="83"/>
      <c r="F62" s="83"/>
      <c r="G62" s="79" t="s">
        <v>34</v>
      </c>
    </row>
    <row r="63" spans="1:7" ht="12.75">
      <c r="A63" s="80"/>
      <c r="B63" s="9">
        <v>100</v>
      </c>
      <c r="C63" s="9">
        <v>200</v>
      </c>
      <c r="D63" s="9">
        <v>400</v>
      </c>
      <c r="E63" s="9">
        <v>800</v>
      </c>
      <c r="F63" s="9" t="s">
        <v>37</v>
      </c>
      <c r="G63" s="80"/>
    </row>
    <row r="64" spans="1:7" ht="28.5" customHeight="1" thickBot="1">
      <c r="A64" s="11" t="s">
        <v>35</v>
      </c>
      <c r="B64" s="11">
        <v>1</v>
      </c>
      <c r="C64" s="11">
        <v>2</v>
      </c>
      <c r="D64" s="11">
        <v>3</v>
      </c>
      <c r="E64" s="11">
        <v>4</v>
      </c>
      <c r="F64" s="11">
        <v>5</v>
      </c>
      <c r="G64" s="11">
        <v>6</v>
      </c>
    </row>
    <row r="65" spans="1:7" ht="12.75">
      <c r="A65" s="12" t="s">
        <v>59</v>
      </c>
      <c r="B65" s="12">
        <v>2</v>
      </c>
      <c r="C65" s="12">
        <v>6</v>
      </c>
      <c r="D65" s="12">
        <v>1</v>
      </c>
      <c r="E65" s="12">
        <v>3</v>
      </c>
      <c r="F65" s="12">
        <v>2</v>
      </c>
      <c r="G65" s="12">
        <f>SUM(B65:F65)</f>
        <v>14</v>
      </c>
    </row>
    <row r="66" spans="1:7" ht="12.75">
      <c r="A66" s="12" t="s">
        <v>58</v>
      </c>
      <c r="B66" s="12">
        <v>7</v>
      </c>
      <c r="C66" s="12">
        <v>1</v>
      </c>
      <c r="D66" s="12">
        <v>2</v>
      </c>
      <c r="E66" s="12">
        <v>4</v>
      </c>
      <c r="F66" s="12">
        <v>2</v>
      </c>
      <c r="G66" s="12">
        <f aca="true" t="shared" si="7" ref="G66:G71">SUM(B66:F66)</f>
        <v>16</v>
      </c>
    </row>
    <row r="67" spans="1:7" ht="12.75">
      <c r="A67" s="12" t="s">
        <v>60</v>
      </c>
      <c r="B67" s="12">
        <v>6</v>
      </c>
      <c r="C67" s="12">
        <v>1</v>
      </c>
      <c r="D67" s="12">
        <v>8</v>
      </c>
      <c r="E67" s="12">
        <v>3</v>
      </c>
      <c r="F67" s="12">
        <v>1</v>
      </c>
      <c r="G67" s="12">
        <f t="shared" si="7"/>
        <v>19</v>
      </c>
    </row>
    <row r="68" spans="1:7" ht="12.75">
      <c r="A68" s="12" t="s">
        <v>61</v>
      </c>
      <c r="B68" s="12">
        <v>7</v>
      </c>
      <c r="C68" s="12">
        <v>2</v>
      </c>
      <c r="D68" s="12">
        <v>2</v>
      </c>
      <c r="E68" s="12">
        <v>3</v>
      </c>
      <c r="F68" s="12">
        <v>1</v>
      </c>
      <c r="G68" s="12">
        <f t="shared" si="7"/>
        <v>15</v>
      </c>
    </row>
    <row r="69" spans="1:7" ht="12.75">
      <c r="A69" s="12" t="s">
        <v>62</v>
      </c>
      <c r="B69" s="12">
        <v>4</v>
      </c>
      <c r="C69" s="12">
        <v>3</v>
      </c>
      <c r="D69" s="12">
        <v>2</v>
      </c>
      <c r="E69" s="12">
        <v>3</v>
      </c>
      <c r="F69" s="12">
        <v>1</v>
      </c>
      <c r="G69" s="12">
        <f t="shared" si="7"/>
        <v>13</v>
      </c>
    </row>
    <row r="70" spans="1:7" ht="12.75">
      <c r="A70" s="12" t="s">
        <v>63</v>
      </c>
      <c r="B70" s="12">
        <v>2</v>
      </c>
      <c r="C70" s="12">
        <v>4</v>
      </c>
      <c r="D70" s="12">
        <v>1</v>
      </c>
      <c r="E70" s="12">
        <v>4</v>
      </c>
      <c r="F70" s="12" t="s">
        <v>44</v>
      </c>
      <c r="G70" s="12">
        <f t="shared" si="7"/>
        <v>11</v>
      </c>
    </row>
    <row r="71" spans="1:7" ht="12.75">
      <c r="A71" s="12" t="s">
        <v>64</v>
      </c>
      <c r="B71" s="12">
        <v>7</v>
      </c>
      <c r="C71" s="12">
        <v>1</v>
      </c>
      <c r="D71" s="12">
        <v>4</v>
      </c>
      <c r="E71" s="12" t="s">
        <v>44</v>
      </c>
      <c r="F71" s="12">
        <v>1</v>
      </c>
      <c r="G71" s="12">
        <f t="shared" si="7"/>
        <v>13</v>
      </c>
    </row>
    <row r="72" spans="1:7" ht="12.75">
      <c r="A72" s="9" t="s">
        <v>65</v>
      </c>
      <c r="B72" s="9" t="s">
        <v>44</v>
      </c>
      <c r="C72" s="9">
        <v>3</v>
      </c>
      <c r="D72" s="9">
        <v>2</v>
      </c>
      <c r="E72" s="9">
        <v>1</v>
      </c>
      <c r="F72" s="9">
        <v>3</v>
      </c>
      <c r="G72" s="12">
        <f>SUM(B72:F72)</f>
        <v>9</v>
      </c>
    </row>
    <row r="73" spans="1:7" ht="12.75">
      <c r="A73" s="9" t="s">
        <v>34</v>
      </c>
      <c r="B73" s="9">
        <f aca="true" t="shared" si="8" ref="B73:G73">SUM(B65:B72)</f>
        <v>35</v>
      </c>
      <c r="C73" s="9">
        <f t="shared" si="8"/>
        <v>21</v>
      </c>
      <c r="D73" s="9">
        <f t="shared" si="8"/>
        <v>22</v>
      </c>
      <c r="E73" s="9">
        <f t="shared" si="8"/>
        <v>21</v>
      </c>
      <c r="F73" s="9">
        <f t="shared" si="8"/>
        <v>11</v>
      </c>
      <c r="G73" s="9">
        <f t="shared" si="8"/>
        <v>110</v>
      </c>
    </row>
    <row r="75" spans="6:7" ht="12.75">
      <c r="F75" s="82" t="s">
        <v>66</v>
      </c>
      <c r="G75" s="82"/>
    </row>
    <row r="76" spans="1:7" ht="12.75">
      <c r="A76" s="81" t="s">
        <v>67</v>
      </c>
      <c r="B76" s="81"/>
      <c r="C76" s="81"/>
      <c r="D76" s="81"/>
      <c r="E76" s="81"/>
      <c r="F76" s="81"/>
      <c r="G76" s="81"/>
    </row>
    <row r="77" spans="1:7" ht="12.75">
      <c r="A77" s="79" t="s">
        <v>68</v>
      </c>
      <c r="B77" s="83" t="s">
        <v>39</v>
      </c>
      <c r="C77" s="83"/>
      <c r="D77" s="83"/>
      <c r="E77" s="83"/>
      <c r="F77" s="83"/>
      <c r="G77" s="79" t="s">
        <v>34</v>
      </c>
    </row>
    <row r="78" spans="1:7" ht="12.75">
      <c r="A78" s="80"/>
      <c r="B78" s="9">
        <v>100</v>
      </c>
      <c r="C78" s="9">
        <v>200</v>
      </c>
      <c r="D78" s="9">
        <v>400</v>
      </c>
      <c r="E78" s="9">
        <v>800</v>
      </c>
      <c r="F78" s="9" t="s">
        <v>37</v>
      </c>
      <c r="G78" s="80"/>
    </row>
    <row r="79" spans="1:7" ht="25.5" customHeight="1" thickBot="1">
      <c r="A79" s="11" t="s">
        <v>35</v>
      </c>
      <c r="B79" s="11">
        <v>1</v>
      </c>
      <c r="C79" s="11">
        <v>2</v>
      </c>
      <c r="D79" s="11">
        <v>3</v>
      </c>
      <c r="E79" s="11">
        <v>4</v>
      </c>
      <c r="F79" s="11">
        <v>5</v>
      </c>
      <c r="G79" s="11">
        <v>6</v>
      </c>
    </row>
    <row r="80" spans="1:9" ht="12.75">
      <c r="A80" s="12" t="s">
        <v>116</v>
      </c>
      <c r="B80" s="12">
        <v>18</v>
      </c>
      <c r="C80" s="12">
        <v>14</v>
      </c>
      <c r="D80" s="12">
        <v>9</v>
      </c>
      <c r="E80" s="12">
        <v>17</v>
      </c>
      <c r="F80" s="12">
        <v>9</v>
      </c>
      <c r="G80" s="12">
        <f>SUM(B80:F80)</f>
        <v>67</v>
      </c>
      <c r="I80" s="13"/>
    </row>
    <row r="81" spans="1:7" ht="12.75">
      <c r="A81" s="15" t="s">
        <v>111</v>
      </c>
      <c r="B81" s="12">
        <v>9</v>
      </c>
      <c r="C81" s="12">
        <v>5</v>
      </c>
      <c r="D81" s="12">
        <v>9</v>
      </c>
      <c r="E81" s="12">
        <v>4</v>
      </c>
      <c r="F81" s="12">
        <v>2</v>
      </c>
      <c r="G81" s="12">
        <f>SUM(B81:F81)</f>
        <v>29</v>
      </c>
    </row>
    <row r="82" spans="1:7" ht="12.75">
      <c r="A82" s="15" t="s">
        <v>112</v>
      </c>
      <c r="B82" s="12">
        <v>5</v>
      </c>
      <c r="C82" s="12">
        <v>2</v>
      </c>
      <c r="D82" s="12">
        <v>4</v>
      </c>
      <c r="E82" s="12" t="s">
        <v>44</v>
      </c>
      <c r="F82" s="12" t="s">
        <v>44</v>
      </c>
      <c r="G82" s="12">
        <f>SUM(B82:F82)</f>
        <v>11</v>
      </c>
    </row>
    <row r="83" spans="1:7" ht="12.75">
      <c r="A83" s="15" t="s">
        <v>113</v>
      </c>
      <c r="B83" s="12">
        <v>1</v>
      </c>
      <c r="C83" s="12" t="s">
        <v>44</v>
      </c>
      <c r="D83" s="12" t="s">
        <v>44</v>
      </c>
      <c r="E83" s="12" t="s">
        <v>44</v>
      </c>
      <c r="F83" s="12" t="s">
        <v>44</v>
      </c>
      <c r="G83" s="12">
        <f>SUM(B83:F83)</f>
        <v>1</v>
      </c>
    </row>
    <row r="84" spans="1:8" ht="12.75">
      <c r="A84" s="12" t="s">
        <v>114</v>
      </c>
      <c r="B84" s="12">
        <v>2</v>
      </c>
      <c r="C84" s="12" t="s">
        <v>44</v>
      </c>
      <c r="D84" s="12" t="s">
        <v>44</v>
      </c>
      <c r="E84" s="12" t="s">
        <v>44</v>
      </c>
      <c r="F84" s="12" t="s">
        <v>44</v>
      </c>
      <c r="G84" s="12">
        <f>SUM(B84:F84)</f>
        <v>2</v>
      </c>
      <c r="H84" s="14"/>
    </row>
    <row r="85" spans="1:7" ht="12.75">
      <c r="A85" s="9" t="s">
        <v>34</v>
      </c>
      <c r="B85" s="9">
        <f aca="true" t="shared" si="9" ref="B85:G85">SUM(B80:B84)</f>
        <v>35</v>
      </c>
      <c r="C85" s="9">
        <f t="shared" si="9"/>
        <v>21</v>
      </c>
      <c r="D85" s="9">
        <f t="shared" si="9"/>
        <v>22</v>
      </c>
      <c r="E85" s="9">
        <f t="shared" si="9"/>
        <v>21</v>
      </c>
      <c r="F85" s="9">
        <f t="shared" si="9"/>
        <v>11</v>
      </c>
      <c r="G85" s="9">
        <f t="shared" si="9"/>
        <v>110</v>
      </c>
    </row>
    <row r="87" spans="6:7" ht="12.75">
      <c r="F87" s="82" t="s">
        <v>94</v>
      </c>
      <c r="G87" s="82"/>
    </row>
    <row r="88" spans="1:7" ht="12.75">
      <c r="A88" s="81" t="s">
        <v>95</v>
      </c>
      <c r="B88" s="81"/>
      <c r="C88" s="81"/>
      <c r="D88" s="81"/>
      <c r="E88" s="81"/>
      <c r="F88" s="81"/>
      <c r="G88" s="81"/>
    </row>
    <row r="89" spans="1:7" ht="12.75">
      <c r="A89" s="79" t="s">
        <v>47</v>
      </c>
      <c r="B89" s="83" t="s">
        <v>96</v>
      </c>
      <c r="C89" s="83"/>
      <c r="D89" s="83"/>
      <c r="E89" s="83"/>
      <c r="F89" s="83"/>
      <c r="G89" s="79" t="s">
        <v>34</v>
      </c>
    </row>
    <row r="90" spans="1:7" ht="12.75">
      <c r="A90" s="80"/>
      <c r="B90" s="9" t="s">
        <v>20</v>
      </c>
      <c r="C90" s="9" t="s">
        <v>19</v>
      </c>
      <c r="D90" s="9" t="s">
        <v>97</v>
      </c>
      <c r="E90" s="9" t="s">
        <v>18</v>
      </c>
      <c r="F90" s="9" t="s">
        <v>17</v>
      </c>
      <c r="G90" s="80"/>
    </row>
    <row r="91" spans="1:7" ht="12.75">
      <c r="A91" s="16" t="s">
        <v>35</v>
      </c>
      <c r="B91" s="16">
        <v>1</v>
      </c>
      <c r="C91" s="16">
        <v>2</v>
      </c>
      <c r="D91" s="16">
        <v>3</v>
      </c>
      <c r="E91" s="16">
        <v>4</v>
      </c>
      <c r="F91" s="16">
        <v>5</v>
      </c>
      <c r="G91" s="16">
        <v>6</v>
      </c>
    </row>
    <row r="92" spans="1:7" ht="12.75">
      <c r="A92" s="9" t="s">
        <v>15</v>
      </c>
      <c r="B92" s="9">
        <v>3</v>
      </c>
      <c r="C92" s="9" t="s">
        <v>44</v>
      </c>
      <c r="D92" s="9" t="s">
        <v>44</v>
      </c>
      <c r="E92" s="9" t="s">
        <v>44</v>
      </c>
      <c r="F92" s="9" t="s">
        <v>44</v>
      </c>
      <c r="G92" s="9">
        <f>SUM(B92:F92)</f>
        <v>3</v>
      </c>
    </row>
    <row r="93" spans="1:7" ht="12.75">
      <c r="A93" s="9" t="s">
        <v>14</v>
      </c>
      <c r="B93" s="9" t="s">
        <v>44</v>
      </c>
      <c r="C93" s="9" t="s">
        <v>44</v>
      </c>
      <c r="D93" s="9" t="s">
        <v>44</v>
      </c>
      <c r="E93" s="9">
        <v>3</v>
      </c>
      <c r="F93" s="9" t="s">
        <v>44</v>
      </c>
      <c r="G93" s="9">
        <f>SUM(B93:F93)</f>
        <v>3</v>
      </c>
    </row>
    <row r="94" spans="1:7" ht="12" customHeight="1">
      <c r="A94" s="9" t="s">
        <v>10</v>
      </c>
      <c r="B94" s="9" t="s">
        <v>44</v>
      </c>
      <c r="C94" s="9" t="s">
        <v>44</v>
      </c>
      <c r="D94" s="9">
        <v>21</v>
      </c>
      <c r="E94" s="9" t="s">
        <v>44</v>
      </c>
      <c r="F94" s="9">
        <v>17</v>
      </c>
      <c r="G94" s="9">
        <f>SUM(B94:F94)</f>
        <v>38</v>
      </c>
    </row>
    <row r="95" spans="1:7" ht="12.75" customHeight="1">
      <c r="A95" s="9" t="s">
        <v>13</v>
      </c>
      <c r="B95" s="9" t="s">
        <v>44</v>
      </c>
      <c r="C95" s="9">
        <v>9</v>
      </c>
      <c r="D95" s="9">
        <v>13</v>
      </c>
      <c r="E95" s="9">
        <v>7</v>
      </c>
      <c r="F95" s="9">
        <v>9</v>
      </c>
      <c r="G95" s="9">
        <f>SUM(B95:F95)</f>
        <v>38</v>
      </c>
    </row>
    <row r="96" spans="1:7" ht="12.75">
      <c r="A96" s="9" t="s">
        <v>11</v>
      </c>
      <c r="B96" s="9" t="s">
        <v>44</v>
      </c>
      <c r="C96" s="9">
        <v>8</v>
      </c>
      <c r="D96" s="9">
        <v>6</v>
      </c>
      <c r="E96" s="9">
        <v>4</v>
      </c>
      <c r="F96" s="9">
        <v>10</v>
      </c>
      <c r="G96" s="9">
        <f>SUM(B96:F96)</f>
        <v>28</v>
      </c>
    </row>
    <row r="97" spans="1:14" ht="12.75">
      <c r="A97" s="9" t="s">
        <v>34</v>
      </c>
      <c r="B97" s="9">
        <f aca="true" t="shared" si="10" ref="B97:G97">SUM(B92:B96)</f>
        <v>3</v>
      </c>
      <c r="C97" s="9">
        <f t="shared" si="10"/>
        <v>17</v>
      </c>
      <c r="D97" s="9">
        <f t="shared" si="10"/>
        <v>40</v>
      </c>
      <c r="E97" s="9">
        <f t="shared" si="10"/>
        <v>14</v>
      </c>
      <c r="F97" s="9">
        <f t="shared" si="10"/>
        <v>36</v>
      </c>
      <c r="G97" s="9">
        <f t="shared" si="10"/>
        <v>110</v>
      </c>
      <c r="I97" s="10">
        <f>(B92^2)/($G92*B97)</f>
        <v>1</v>
      </c>
      <c r="J97" s="10" t="e">
        <f>(C92^2)/($G92*C97)</f>
        <v>#VALUE!</v>
      </c>
      <c r="K97" s="10" t="e">
        <f>(D92^2)/($G92*D97)</f>
        <v>#VALUE!</v>
      </c>
      <c r="L97" s="10" t="e">
        <f>(E92^2)/($G92*E97)</f>
        <v>#VALUE!</v>
      </c>
      <c r="M97" s="10" t="e">
        <f>(F92^2)/($G92*F97)</f>
        <v>#VALUE!</v>
      </c>
      <c r="N97" s="10">
        <f>I97</f>
        <v>1</v>
      </c>
    </row>
    <row r="98" spans="9:14" ht="12.75">
      <c r="I98" s="10" t="e">
        <f>(B93^2)/($G93*B$97)</f>
        <v>#VALUE!</v>
      </c>
      <c r="J98" s="10" t="e">
        <f aca="true" t="shared" si="11" ref="J98:M101">(C93^2)/($G93*C$97)</f>
        <v>#VALUE!</v>
      </c>
      <c r="K98" s="10" t="e">
        <f t="shared" si="11"/>
        <v>#VALUE!</v>
      </c>
      <c r="L98" s="10">
        <f t="shared" si="11"/>
        <v>0.21428571428571427</v>
      </c>
      <c r="M98" s="10" t="e">
        <f t="shared" si="11"/>
        <v>#VALUE!</v>
      </c>
      <c r="N98" s="10">
        <f>L98</f>
        <v>0.21428571428571427</v>
      </c>
    </row>
    <row r="99" spans="9:14" ht="12.75">
      <c r="I99" s="10" t="e">
        <f>(B94^2)/($G94*B$97)</f>
        <v>#VALUE!</v>
      </c>
      <c r="J99" s="10" t="e">
        <f t="shared" si="11"/>
        <v>#VALUE!</v>
      </c>
      <c r="K99" s="10">
        <f t="shared" si="11"/>
        <v>0.2901315789473684</v>
      </c>
      <c r="L99" s="10" t="e">
        <f t="shared" si="11"/>
        <v>#VALUE!</v>
      </c>
      <c r="M99" s="10">
        <f t="shared" si="11"/>
        <v>0.21125730994152048</v>
      </c>
      <c r="N99" s="10">
        <f>K99+M99</f>
        <v>0.5013888888888889</v>
      </c>
    </row>
    <row r="100" spans="9:14" ht="12.75">
      <c r="I100" s="10" t="e">
        <f>(B95^2)/($G95*B$97)</f>
        <v>#VALUE!</v>
      </c>
      <c r="J100" s="10">
        <f t="shared" si="11"/>
        <v>0.12538699690402477</v>
      </c>
      <c r="K100" s="10">
        <f t="shared" si="11"/>
        <v>0.11118421052631579</v>
      </c>
      <c r="L100" s="10">
        <f t="shared" si="11"/>
        <v>0.09210526315789473</v>
      </c>
      <c r="M100" s="10">
        <f t="shared" si="11"/>
        <v>0.05921052631578947</v>
      </c>
      <c r="N100" s="10">
        <f>SUM(J100:M100)</f>
        <v>0.3878869969040248</v>
      </c>
    </row>
    <row r="101" spans="9:14" ht="12.75">
      <c r="I101" s="10" t="e">
        <f>(B96^2)/($G96*B$97)</f>
        <v>#VALUE!</v>
      </c>
      <c r="J101" s="10">
        <f t="shared" si="11"/>
        <v>0.13445378151260504</v>
      </c>
      <c r="K101" s="10">
        <f t="shared" si="11"/>
        <v>0.03214285714285714</v>
      </c>
      <c r="L101" s="10">
        <f t="shared" si="11"/>
        <v>0.04081632653061224</v>
      </c>
      <c r="M101" s="10">
        <f t="shared" si="11"/>
        <v>0.0992063492063492</v>
      </c>
      <c r="N101" s="10">
        <f>SUM(J101:M101)</f>
        <v>0.3066193143924236</v>
      </c>
    </row>
    <row r="102" spans="13:14" ht="12.75">
      <c r="M102" s="10" t="s">
        <v>72</v>
      </c>
      <c r="N102" s="10">
        <f>SUM(N97:N101)</f>
        <v>2.4101809144710513</v>
      </c>
    </row>
    <row r="103" spans="13:14" ht="12.75">
      <c r="M103" s="10" t="s">
        <v>77</v>
      </c>
      <c r="N103" s="10">
        <f>N102-1</f>
        <v>1.4101809144710513</v>
      </c>
    </row>
    <row r="104" spans="13:14" ht="12.75">
      <c r="M104" s="32" t="s">
        <v>78</v>
      </c>
      <c r="N104" s="32">
        <f>SQRT(N103/(1+N103))</f>
        <v>0.7649139735782597</v>
      </c>
    </row>
    <row r="105" spans="13:14" ht="12.75">
      <c r="M105" s="10" t="s">
        <v>79</v>
      </c>
      <c r="N105" s="10">
        <f>SQRT(N103/4)</f>
        <v>0.5937551924975165</v>
      </c>
    </row>
  </sheetData>
  <mergeCells count="40">
    <mergeCell ref="F87:G87"/>
    <mergeCell ref="A88:G88"/>
    <mergeCell ref="A89:A90"/>
    <mergeCell ref="B89:F89"/>
    <mergeCell ref="G89:G90"/>
    <mergeCell ref="F75:G75"/>
    <mergeCell ref="A76:G76"/>
    <mergeCell ref="A77:A78"/>
    <mergeCell ref="B77:F77"/>
    <mergeCell ref="G77:G78"/>
    <mergeCell ref="F60:G60"/>
    <mergeCell ref="A61:G61"/>
    <mergeCell ref="A62:A63"/>
    <mergeCell ref="B62:F62"/>
    <mergeCell ref="G62:G63"/>
    <mergeCell ref="F47:G47"/>
    <mergeCell ref="A48:G48"/>
    <mergeCell ref="A49:A50"/>
    <mergeCell ref="B49:F49"/>
    <mergeCell ref="G49:G50"/>
    <mergeCell ref="F35:G35"/>
    <mergeCell ref="A36:G36"/>
    <mergeCell ref="A37:A38"/>
    <mergeCell ref="B37:F37"/>
    <mergeCell ref="G37:G38"/>
    <mergeCell ref="F23:G23"/>
    <mergeCell ref="A24:G24"/>
    <mergeCell ref="A25:A26"/>
    <mergeCell ref="B25:F25"/>
    <mergeCell ref="G25:G26"/>
    <mergeCell ref="A11:G11"/>
    <mergeCell ref="A12:A13"/>
    <mergeCell ref="B12:F12"/>
    <mergeCell ref="G12:G13"/>
    <mergeCell ref="G3:G4"/>
    <mergeCell ref="A2:G2"/>
    <mergeCell ref="F1:G1"/>
    <mergeCell ref="F10:G10"/>
    <mergeCell ref="B3:F3"/>
    <mergeCell ref="A3:A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4.625" style="1" customWidth="1"/>
    <col min="2" max="3" width="4.75390625" style="1" customWidth="1"/>
    <col min="4" max="4" width="19.625" style="1" customWidth="1"/>
    <col min="5" max="5" width="12.625" style="1" customWidth="1"/>
    <col min="6" max="6" width="9.125" style="1" customWidth="1"/>
    <col min="7" max="7" width="9.625" style="1" customWidth="1"/>
    <col min="8" max="9" width="9.125" style="1" customWidth="1"/>
    <col min="10" max="10" width="14.125" style="1" customWidth="1"/>
    <col min="11" max="11" width="14.625" style="1" customWidth="1"/>
    <col min="12" max="12" width="11.375" style="1" customWidth="1"/>
    <col min="13" max="13" width="13.625" style="1" customWidth="1"/>
    <col min="14" max="14" width="9.125" style="1" customWidth="1"/>
    <col min="15" max="15" width="11.75390625" style="1" customWidth="1"/>
    <col min="16" max="18" width="14.25390625" style="1" customWidth="1"/>
    <col min="19" max="19" width="6.125" style="1" customWidth="1"/>
    <col min="20" max="20" width="16.125" style="1" customWidth="1"/>
    <col min="21" max="21" width="10.25390625" style="1" customWidth="1"/>
    <col min="22" max="22" width="10.375" style="1" customWidth="1"/>
    <col min="23" max="23" width="10.00390625" style="1" customWidth="1"/>
    <col min="24" max="24" width="12.25390625" style="1" customWidth="1"/>
    <col min="25" max="25" width="9.875" style="1" customWidth="1"/>
    <col min="26" max="16384" width="9.125" style="1" customWidth="1"/>
  </cols>
  <sheetData>
    <row r="1" spans="1:28" ht="25.5">
      <c r="A1" s="17" t="s">
        <v>12</v>
      </c>
      <c r="B1" s="17" t="s">
        <v>0</v>
      </c>
      <c r="C1" s="18" t="s">
        <v>1</v>
      </c>
      <c r="D1" s="17" t="s">
        <v>2</v>
      </c>
      <c r="E1" s="17" t="s">
        <v>3</v>
      </c>
      <c r="F1" s="17" t="s">
        <v>4</v>
      </c>
      <c r="G1" s="18" t="s">
        <v>5</v>
      </c>
      <c r="H1" s="18" t="s">
        <v>6</v>
      </c>
      <c r="J1" s="35" t="s">
        <v>2</v>
      </c>
      <c r="K1" s="68" t="s">
        <v>3</v>
      </c>
      <c r="L1" s="64" t="s">
        <v>119</v>
      </c>
      <c r="M1" s="17" t="s">
        <v>120</v>
      </c>
      <c r="N1" s="55" t="s">
        <v>24</v>
      </c>
      <c r="O1" s="65" t="s">
        <v>139</v>
      </c>
      <c r="P1" s="84" t="s">
        <v>146</v>
      </c>
      <c r="Q1" s="85"/>
      <c r="R1" s="6"/>
      <c r="T1" s="8"/>
      <c r="V1" s="1" t="s">
        <v>91</v>
      </c>
      <c r="X1" s="1" t="s">
        <v>23</v>
      </c>
      <c r="Y1" s="1" t="s">
        <v>24</v>
      </c>
      <c r="Z1" s="1" t="s">
        <v>25</v>
      </c>
      <c r="AA1" s="1" t="s">
        <v>131</v>
      </c>
      <c r="AB1" s="1" t="s">
        <v>26</v>
      </c>
    </row>
    <row r="2" spans="1:28" ht="12.75" customHeight="1">
      <c r="A2" s="1">
        <v>108</v>
      </c>
      <c r="B2" s="1" t="s">
        <v>8</v>
      </c>
      <c r="C2" s="1">
        <v>60</v>
      </c>
      <c r="D2" s="1" t="s">
        <v>13</v>
      </c>
      <c r="E2" s="1" t="s">
        <v>18</v>
      </c>
      <c r="F2" s="1">
        <v>272</v>
      </c>
      <c r="G2" s="1">
        <v>55</v>
      </c>
      <c r="H2" s="1">
        <v>18</v>
      </c>
      <c r="J2" s="75" t="s">
        <v>15</v>
      </c>
      <c r="K2" s="45" t="s">
        <v>20</v>
      </c>
      <c r="L2" s="38">
        <v>1</v>
      </c>
      <c r="M2" s="41">
        <f>'Коррел. отношения'!S60</f>
        <v>900</v>
      </c>
      <c r="N2" s="56">
        <v>12.706</v>
      </c>
      <c r="O2" s="56">
        <f>$L$29*N2</f>
        <v>368.4664914666635</v>
      </c>
      <c r="P2" s="61">
        <f>M2-O2</f>
        <v>531.5335085333365</v>
      </c>
      <c r="Q2" s="56">
        <f>M2+O2</f>
        <v>1268.4664914666635</v>
      </c>
      <c r="R2" s="50">
        <f>O2*L2/1000</f>
        <v>0.3684664914666635</v>
      </c>
      <c r="T2" s="8" t="s">
        <v>123</v>
      </c>
      <c r="U2" s="1">
        <v>607.25</v>
      </c>
      <c r="V2" s="1">
        <v>38</v>
      </c>
      <c r="W2" s="1">
        <f aca="true" t="shared" si="0" ref="W2:W9">U2*V2</f>
        <v>23075.5</v>
      </c>
      <c r="X2" s="1">
        <f>((U2-$W$11)^2)*V2</f>
        <v>47282232.056652896</v>
      </c>
      <c r="Y2" s="1">
        <f>(U2-$W$11)/$V$12</f>
        <v>-0.8806528438964538</v>
      </c>
      <c r="Z2" s="4">
        <f aca="true" t="shared" si="1" ref="Z2:Z9">(1/SQRT(6.28318530717958))*(1/(2.718281828^(Y2^2/2)))</f>
        <v>0.2707083467547573</v>
      </c>
      <c r="AA2" s="7">
        <f>(110*710*Z2)/$V$12</f>
        <v>16.691687127471145</v>
      </c>
      <c r="AB2" s="1">
        <f aca="true" t="shared" si="2" ref="AB2:AB9">((V2-AA2)^2)/AA2</f>
        <v>27.201815730556913</v>
      </c>
    </row>
    <row r="3" spans="1:28" ht="12.75" customHeight="1">
      <c r="A3" s="1">
        <v>24</v>
      </c>
      <c r="B3" s="1" t="s">
        <v>8</v>
      </c>
      <c r="C3" s="1">
        <v>34</v>
      </c>
      <c r="D3" s="1" t="s">
        <v>13</v>
      </c>
      <c r="E3" s="1" t="s">
        <v>19</v>
      </c>
      <c r="F3" s="1">
        <v>272</v>
      </c>
      <c r="G3" s="1">
        <v>52</v>
      </c>
      <c r="H3" s="1">
        <v>16</v>
      </c>
      <c r="J3" s="76"/>
      <c r="K3" s="45" t="s">
        <v>19</v>
      </c>
      <c r="L3" s="39">
        <v>0</v>
      </c>
      <c r="M3" s="41" t="str">
        <f>'Коррел. отношения'!S61</f>
        <v>-</v>
      </c>
      <c r="N3" s="57" t="s">
        <v>44</v>
      </c>
      <c r="O3" s="57" t="s">
        <v>44</v>
      </c>
      <c r="P3" s="62" t="s">
        <v>44</v>
      </c>
      <c r="Q3" s="57" t="s">
        <v>44</v>
      </c>
      <c r="R3" s="50" t="s">
        <v>44</v>
      </c>
      <c r="T3" s="8" t="s">
        <v>124</v>
      </c>
      <c r="U3" s="1">
        <v>1277.75</v>
      </c>
      <c r="V3" s="1">
        <v>28</v>
      </c>
      <c r="W3" s="1">
        <f t="shared" si="0"/>
        <v>35777</v>
      </c>
      <c r="X3" s="1">
        <f aca="true" t="shared" si="3" ref="X3:X9">((U3-$W$11)^2)*V3</f>
        <v>5543907.119256198</v>
      </c>
      <c r="Y3" s="1">
        <f aca="true" t="shared" si="4" ref="Y3:Y9">(U3-$W$11)/$V$12</f>
        <v>-0.35129867543410453</v>
      </c>
      <c r="Z3" s="4">
        <f t="shared" si="1"/>
        <v>0.3750695089924277</v>
      </c>
      <c r="AA3" s="7">
        <f aca="true" t="shared" si="5" ref="AA3:AA9">(110*710*Z3)/$V$12</f>
        <v>23.126523323743097</v>
      </c>
      <c r="AB3" s="1">
        <f t="shared" si="2"/>
        <v>1.0269928852486028</v>
      </c>
    </row>
    <row r="4" spans="1:28" ht="12.75" customHeight="1">
      <c r="A4" s="6">
        <v>12</v>
      </c>
      <c r="B4" s="6" t="s">
        <v>9</v>
      </c>
      <c r="C4" s="6">
        <v>27</v>
      </c>
      <c r="D4" s="6" t="s">
        <v>13</v>
      </c>
      <c r="E4" s="6" t="s">
        <v>17</v>
      </c>
      <c r="F4" s="6">
        <v>275</v>
      </c>
      <c r="G4" s="6">
        <v>47</v>
      </c>
      <c r="H4" s="6">
        <v>26</v>
      </c>
      <c r="J4" s="76"/>
      <c r="K4" s="45" t="s">
        <v>93</v>
      </c>
      <c r="L4" s="39">
        <v>0</v>
      </c>
      <c r="M4" s="41" t="str">
        <f>'Коррел. отношения'!S62</f>
        <v>-</v>
      </c>
      <c r="N4" s="57" t="s">
        <v>44</v>
      </c>
      <c r="O4" s="57" t="s">
        <v>44</v>
      </c>
      <c r="P4" s="62" t="s">
        <v>44</v>
      </c>
      <c r="Q4" s="57" t="s">
        <v>44</v>
      </c>
      <c r="R4" s="50" t="s">
        <v>44</v>
      </c>
      <c r="T4" s="8" t="s">
        <v>125</v>
      </c>
      <c r="U4" s="1">
        <v>1948.25</v>
      </c>
      <c r="V4" s="1">
        <v>15</v>
      </c>
      <c r="W4" s="1">
        <f t="shared" si="0"/>
        <v>29223.75</v>
      </c>
      <c r="X4" s="1">
        <f t="shared" si="3"/>
        <v>762969.0151859503</v>
      </c>
      <c r="Y4" s="1">
        <f t="shared" si="4"/>
        <v>0.17805549302824475</v>
      </c>
      <c r="Z4" s="4">
        <f t="shared" si="1"/>
        <v>0.39266815524445803</v>
      </c>
      <c r="AA4" s="7">
        <f t="shared" si="5"/>
        <v>24.211643530147562</v>
      </c>
      <c r="AB4" s="1">
        <f t="shared" si="2"/>
        <v>3.5046929557198996</v>
      </c>
    </row>
    <row r="5" spans="1:28" ht="12.75" customHeight="1">
      <c r="A5" s="1">
        <v>13</v>
      </c>
      <c r="B5" s="1" t="s">
        <v>8</v>
      </c>
      <c r="C5" s="1">
        <v>35</v>
      </c>
      <c r="D5" s="1" t="s">
        <v>13</v>
      </c>
      <c r="E5" s="1" t="s">
        <v>18</v>
      </c>
      <c r="F5" s="1">
        <v>293</v>
      </c>
      <c r="G5" s="1">
        <v>52</v>
      </c>
      <c r="H5" s="1">
        <v>20</v>
      </c>
      <c r="J5" s="76"/>
      <c r="K5" s="45" t="s">
        <v>18</v>
      </c>
      <c r="L5" s="39">
        <v>0</v>
      </c>
      <c r="M5" s="41" t="str">
        <f>'Коррел. отношения'!S63</f>
        <v>-</v>
      </c>
      <c r="N5" s="57" t="s">
        <v>44</v>
      </c>
      <c r="O5" s="57" t="s">
        <v>44</v>
      </c>
      <c r="P5" s="62" t="s">
        <v>44</v>
      </c>
      <c r="Q5" s="57" t="s">
        <v>44</v>
      </c>
      <c r="R5" s="50" t="s">
        <v>44</v>
      </c>
      <c r="T5" s="8" t="s">
        <v>126</v>
      </c>
      <c r="U5" s="1">
        <v>2618.75</v>
      </c>
      <c r="V5" s="1">
        <v>14</v>
      </c>
      <c r="W5" s="1">
        <f t="shared" si="0"/>
        <v>36662.5</v>
      </c>
      <c r="X5" s="1">
        <f t="shared" si="3"/>
        <v>11240222.268719008</v>
      </c>
      <c r="Y5" s="1">
        <f t="shared" si="4"/>
        <v>0.707409661490594</v>
      </c>
      <c r="Z5" s="4">
        <f t="shared" si="1"/>
        <v>0.31063001178337013</v>
      </c>
      <c r="AA5" s="7">
        <f t="shared" si="5"/>
        <v>19.15322904242727</v>
      </c>
      <c r="AB5" s="1">
        <f t="shared" si="2"/>
        <v>1.3864904713921018</v>
      </c>
    </row>
    <row r="6" spans="1:28" ht="12.75" customHeight="1">
      <c r="A6" s="1">
        <v>26</v>
      </c>
      <c r="B6" s="1" t="s">
        <v>8</v>
      </c>
      <c r="C6" s="1">
        <v>41</v>
      </c>
      <c r="D6" s="1" t="s">
        <v>13</v>
      </c>
      <c r="E6" s="1" t="s">
        <v>18</v>
      </c>
      <c r="F6" s="1">
        <v>300</v>
      </c>
      <c r="G6" s="1">
        <v>52</v>
      </c>
      <c r="H6" s="1">
        <v>17</v>
      </c>
      <c r="J6" s="76"/>
      <c r="K6" s="45" t="s">
        <v>17</v>
      </c>
      <c r="L6" s="40">
        <v>0</v>
      </c>
      <c r="M6" s="43" t="str">
        <f>'Коррел. отношения'!S64</f>
        <v>-</v>
      </c>
      <c r="N6" s="58" t="s">
        <v>44</v>
      </c>
      <c r="O6" s="58" t="s">
        <v>44</v>
      </c>
      <c r="P6" s="63" t="s">
        <v>44</v>
      </c>
      <c r="Q6" s="58" t="s">
        <v>44</v>
      </c>
      <c r="R6" s="50" t="s">
        <v>44</v>
      </c>
      <c r="T6" s="8" t="s">
        <v>127</v>
      </c>
      <c r="U6" s="1">
        <v>3289.25</v>
      </c>
      <c r="V6" s="1">
        <v>5</v>
      </c>
      <c r="W6" s="1">
        <f t="shared" si="0"/>
        <v>16446.25</v>
      </c>
      <c r="X6" s="1">
        <f t="shared" si="3"/>
        <v>12270109.686880166</v>
      </c>
      <c r="Y6" s="1">
        <f t="shared" si="4"/>
        <v>1.2367638299529433</v>
      </c>
      <c r="Z6" s="4">
        <f t="shared" si="1"/>
        <v>0.18567992543101977</v>
      </c>
      <c r="AA6" s="7">
        <f t="shared" si="5"/>
        <v>11.448894200349546</v>
      </c>
      <c r="AB6" s="1">
        <f t="shared" si="2"/>
        <v>3.6325111997307378</v>
      </c>
    </row>
    <row r="7" spans="1:28" ht="12.75" customHeight="1">
      <c r="A7" s="1">
        <v>2</v>
      </c>
      <c r="B7" s="1" t="s">
        <v>8</v>
      </c>
      <c r="C7" s="1">
        <v>52</v>
      </c>
      <c r="D7" s="1" t="s">
        <v>13</v>
      </c>
      <c r="E7" s="1" t="s">
        <v>19</v>
      </c>
      <c r="F7" s="1">
        <v>307</v>
      </c>
      <c r="G7" s="1">
        <v>40</v>
      </c>
      <c r="H7" s="1">
        <v>17</v>
      </c>
      <c r="J7" s="77" t="s">
        <v>14</v>
      </c>
      <c r="K7" s="45" t="s">
        <v>20</v>
      </c>
      <c r="L7" s="38">
        <v>0</v>
      </c>
      <c r="M7" s="41" t="str">
        <f>'Коррел. отношения'!S65</f>
        <v>-</v>
      </c>
      <c r="N7" s="57" t="s">
        <v>44</v>
      </c>
      <c r="O7" s="57" t="s">
        <v>44</v>
      </c>
      <c r="P7" s="62" t="s">
        <v>44</v>
      </c>
      <c r="Q7" s="57" t="s">
        <v>44</v>
      </c>
      <c r="R7" s="50" t="s">
        <v>44</v>
      </c>
      <c r="T7" s="8" t="s">
        <v>128</v>
      </c>
      <c r="U7" s="1">
        <v>3959.75</v>
      </c>
      <c r="V7" s="1">
        <v>2</v>
      </c>
      <c r="W7" s="1">
        <f t="shared" si="0"/>
        <v>7919.5</v>
      </c>
      <c r="X7" s="1">
        <f t="shared" si="3"/>
        <v>10008622.711115705</v>
      </c>
      <c r="Y7" s="1">
        <f t="shared" si="4"/>
        <v>1.7661179984152928</v>
      </c>
      <c r="Z7" s="4">
        <f t="shared" si="1"/>
        <v>0.08386684427292523</v>
      </c>
      <c r="AA7" s="7">
        <f t="shared" si="5"/>
        <v>5.171170899433719</v>
      </c>
      <c r="AB7" s="1">
        <f t="shared" si="2"/>
        <v>1.9446901038440834</v>
      </c>
    </row>
    <row r="8" spans="1:28" ht="12.75" customHeight="1">
      <c r="A8" s="1">
        <v>105</v>
      </c>
      <c r="B8" s="1" t="s">
        <v>9</v>
      </c>
      <c r="C8" s="1">
        <v>42</v>
      </c>
      <c r="D8" s="1" t="s">
        <v>13</v>
      </c>
      <c r="E8" s="1" t="s">
        <v>19</v>
      </c>
      <c r="F8" s="1">
        <v>319</v>
      </c>
      <c r="G8" s="1">
        <v>47</v>
      </c>
      <c r="H8" s="1">
        <v>17</v>
      </c>
      <c r="J8" s="78"/>
      <c r="K8" s="45" t="s">
        <v>19</v>
      </c>
      <c r="L8" s="39">
        <v>0</v>
      </c>
      <c r="M8" s="41" t="str">
        <f>'Коррел. отношения'!S66</f>
        <v>-</v>
      </c>
      <c r="N8" s="57" t="s">
        <v>44</v>
      </c>
      <c r="O8" s="57" t="s">
        <v>44</v>
      </c>
      <c r="P8" s="62" t="s">
        <v>44</v>
      </c>
      <c r="Q8" s="57" t="s">
        <v>44</v>
      </c>
      <c r="R8" s="50" t="s">
        <v>44</v>
      </c>
      <c r="T8" s="8" t="s">
        <v>129</v>
      </c>
      <c r="U8" s="1">
        <v>4630.25</v>
      </c>
      <c r="V8" s="1">
        <v>3</v>
      </c>
      <c r="W8" s="1">
        <f t="shared" si="0"/>
        <v>13890.75</v>
      </c>
      <c r="X8" s="1">
        <f t="shared" si="3"/>
        <v>25361223.821219012</v>
      </c>
      <c r="Y8" s="1">
        <f t="shared" si="4"/>
        <v>2.295472166877642</v>
      </c>
      <c r="Z8" s="4">
        <f t="shared" si="1"/>
        <v>0.02862328397962559</v>
      </c>
      <c r="AA8" s="7">
        <f t="shared" si="5"/>
        <v>1.764891649910944</v>
      </c>
      <c r="AB8" s="1">
        <f t="shared" si="2"/>
        <v>0.8643548381775654</v>
      </c>
    </row>
    <row r="9" spans="1:28" ht="12.75" customHeight="1">
      <c r="A9" s="6">
        <v>62</v>
      </c>
      <c r="B9" s="6" t="s">
        <v>9</v>
      </c>
      <c r="C9" s="6">
        <v>55</v>
      </c>
      <c r="D9" s="6" t="s">
        <v>13</v>
      </c>
      <c r="E9" s="6" t="s">
        <v>17</v>
      </c>
      <c r="F9" s="6">
        <v>329</v>
      </c>
      <c r="G9" s="6">
        <v>49</v>
      </c>
      <c r="H9" s="6">
        <v>17</v>
      </c>
      <c r="J9" s="78"/>
      <c r="K9" s="45" t="s">
        <v>93</v>
      </c>
      <c r="L9" s="39">
        <v>0</v>
      </c>
      <c r="M9" s="41" t="str">
        <f>'Коррел. отношения'!S67</f>
        <v>-</v>
      </c>
      <c r="N9" s="57" t="s">
        <v>44</v>
      </c>
      <c r="O9" s="57" t="s">
        <v>44</v>
      </c>
      <c r="P9" s="62" t="s">
        <v>44</v>
      </c>
      <c r="Q9" s="57" t="s">
        <v>44</v>
      </c>
      <c r="R9" s="50" t="s">
        <v>44</v>
      </c>
      <c r="T9" s="8" t="s">
        <v>130</v>
      </c>
      <c r="U9" s="1">
        <v>5300.75</v>
      </c>
      <c r="V9" s="1">
        <v>5</v>
      </c>
      <c r="W9" s="1">
        <f t="shared" si="0"/>
        <v>26503.75</v>
      </c>
      <c r="X9" s="1">
        <f t="shared" si="3"/>
        <v>64011558.459607445</v>
      </c>
      <c r="Y9" s="1">
        <f t="shared" si="4"/>
        <v>2.824826335339991</v>
      </c>
      <c r="Z9" s="4">
        <f t="shared" si="1"/>
        <v>0.007381632602782206</v>
      </c>
      <c r="AA9" s="7">
        <f t="shared" si="5"/>
        <v>0.45514629811988166</v>
      </c>
      <c r="AB9" s="1">
        <f t="shared" si="2"/>
        <v>45.382540200410205</v>
      </c>
    </row>
    <row r="10" spans="1:28" ht="12.75" customHeight="1">
      <c r="A10" s="6">
        <v>95</v>
      </c>
      <c r="B10" s="6" t="s">
        <v>9</v>
      </c>
      <c r="C10" s="6">
        <v>34</v>
      </c>
      <c r="D10" s="6" t="s">
        <v>13</v>
      </c>
      <c r="E10" s="6" t="s">
        <v>18</v>
      </c>
      <c r="F10" s="6">
        <v>343</v>
      </c>
      <c r="G10" s="6">
        <v>40</v>
      </c>
      <c r="H10" s="6">
        <v>13</v>
      </c>
      <c r="J10" s="78"/>
      <c r="K10" s="45" t="s">
        <v>18</v>
      </c>
      <c r="L10" s="39">
        <v>1</v>
      </c>
      <c r="M10" s="41">
        <f>'Коррел. отношения'!S68</f>
        <v>900</v>
      </c>
      <c r="N10" s="56">
        <v>12.706</v>
      </c>
      <c r="O10" s="56">
        <f>$L$29*N10</f>
        <v>368.4664914666635</v>
      </c>
      <c r="P10" s="61">
        <f>M10-O10</f>
        <v>531.5335085333365</v>
      </c>
      <c r="Q10" s="56">
        <f>M10+O10</f>
        <v>1268.4664914666635</v>
      </c>
      <c r="R10" s="50">
        <f>O10*L10/1000</f>
        <v>0.3684664914666635</v>
      </c>
      <c r="T10" s="8"/>
      <c r="V10" s="1">
        <f>SUM(V2:V9)</f>
        <v>110</v>
      </c>
      <c r="W10" s="1">
        <f>SUM(W2:W9)</f>
        <v>189499</v>
      </c>
      <c r="X10" s="1">
        <f>SUM(X2:X9)</f>
        <v>176480845.13863638</v>
      </c>
      <c r="Z10" s="4"/>
      <c r="AB10" s="1">
        <f>SUM(AB2:AB8)</f>
        <v>39.5615481846699</v>
      </c>
    </row>
    <row r="11" spans="1:26" ht="12.75" customHeight="1">
      <c r="A11" s="2">
        <v>32</v>
      </c>
      <c r="B11" s="2" t="s">
        <v>9</v>
      </c>
      <c r="C11" s="2">
        <v>42</v>
      </c>
      <c r="D11" s="2" t="s">
        <v>13</v>
      </c>
      <c r="E11" s="2" t="s">
        <v>17</v>
      </c>
      <c r="F11" s="2">
        <v>354</v>
      </c>
      <c r="G11" s="2">
        <v>55</v>
      </c>
      <c r="H11" s="2">
        <v>12</v>
      </c>
      <c r="J11" s="78"/>
      <c r="K11" s="45" t="s">
        <v>17</v>
      </c>
      <c r="L11" s="40">
        <v>0</v>
      </c>
      <c r="M11" s="43" t="str">
        <f>'Коррел. отношения'!S69</f>
        <v>-</v>
      </c>
      <c r="N11" s="58" t="s">
        <v>44</v>
      </c>
      <c r="O11" s="58" t="s">
        <v>44</v>
      </c>
      <c r="P11" s="63" t="s">
        <v>44</v>
      </c>
      <c r="Q11" s="58" t="s">
        <v>44</v>
      </c>
      <c r="R11" s="50" t="s">
        <v>44</v>
      </c>
      <c r="T11" s="8"/>
      <c r="V11" s="1" t="s">
        <v>90</v>
      </c>
      <c r="W11" s="1">
        <f>W10/110</f>
        <v>1722.7181818181818</v>
      </c>
      <c r="Z11" s="4"/>
    </row>
    <row r="12" spans="1:26" ht="12.75" customHeight="1">
      <c r="A12" s="1">
        <v>14</v>
      </c>
      <c r="B12" s="1" t="s">
        <v>9</v>
      </c>
      <c r="C12" s="1">
        <v>22</v>
      </c>
      <c r="D12" s="1" t="s">
        <v>14</v>
      </c>
      <c r="E12" s="1" t="s">
        <v>18</v>
      </c>
      <c r="F12" s="1">
        <v>377</v>
      </c>
      <c r="G12" s="1">
        <v>45</v>
      </c>
      <c r="H12" s="1">
        <v>13</v>
      </c>
      <c r="J12" s="75" t="s">
        <v>10</v>
      </c>
      <c r="K12" s="45" t="s">
        <v>20</v>
      </c>
      <c r="L12" s="39">
        <v>0</v>
      </c>
      <c r="M12" s="41" t="str">
        <f>'Коррел. отношения'!S70</f>
        <v>-</v>
      </c>
      <c r="N12" s="57" t="s">
        <v>44</v>
      </c>
      <c r="O12" s="57" t="s">
        <v>44</v>
      </c>
      <c r="P12" s="62" t="s">
        <v>44</v>
      </c>
      <c r="Q12" s="57" t="s">
        <v>44</v>
      </c>
      <c r="R12" s="50" t="s">
        <v>44</v>
      </c>
      <c r="T12" s="8"/>
      <c r="U12" s="1" t="s">
        <v>28</v>
      </c>
      <c r="V12" s="1">
        <f>SQRT(X10/110)</f>
        <v>1266.637801205281</v>
      </c>
      <c r="Z12" s="4"/>
    </row>
    <row r="13" spans="1:18" ht="12.75" customHeight="1">
      <c r="A13" s="6">
        <v>110</v>
      </c>
      <c r="B13" s="6" t="s">
        <v>8</v>
      </c>
      <c r="C13" s="6">
        <v>39</v>
      </c>
      <c r="D13" s="6" t="s">
        <v>13</v>
      </c>
      <c r="E13" s="6" t="s">
        <v>19</v>
      </c>
      <c r="F13" s="6">
        <v>397</v>
      </c>
      <c r="G13" s="6">
        <v>51</v>
      </c>
      <c r="H13" s="6">
        <v>15</v>
      </c>
      <c r="J13" s="76"/>
      <c r="K13" s="45" t="s">
        <v>19</v>
      </c>
      <c r="L13" s="39">
        <v>0</v>
      </c>
      <c r="M13" s="41" t="str">
        <f>'Коррел. отношения'!S71</f>
        <v>-</v>
      </c>
      <c r="N13" s="57" t="s">
        <v>44</v>
      </c>
      <c r="O13" s="57" t="s">
        <v>44</v>
      </c>
      <c r="P13" s="62" t="s">
        <v>44</v>
      </c>
      <c r="Q13" s="57" t="s">
        <v>44</v>
      </c>
      <c r="R13" s="50" t="s">
        <v>44</v>
      </c>
    </row>
    <row r="14" spans="1:18" ht="12.75" customHeight="1">
      <c r="A14" s="1">
        <v>66</v>
      </c>
      <c r="B14" s="1" t="s">
        <v>9</v>
      </c>
      <c r="C14" s="1">
        <v>35</v>
      </c>
      <c r="D14" s="1" t="s">
        <v>13</v>
      </c>
      <c r="E14" s="1" t="s">
        <v>80</v>
      </c>
      <c r="F14" s="1">
        <v>421</v>
      </c>
      <c r="G14" s="1">
        <v>54</v>
      </c>
      <c r="H14" s="1">
        <v>14</v>
      </c>
      <c r="J14" s="76"/>
      <c r="K14" s="45" t="s">
        <v>93</v>
      </c>
      <c r="L14" s="39">
        <v>19</v>
      </c>
      <c r="M14" s="41">
        <f>'Коррел. отношения'!S72</f>
        <v>823.8095238095239</v>
      </c>
      <c r="N14" s="56">
        <v>2.093</v>
      </c>
      <c r="O14" s="56">
        <f>$L$29*N14</f>
        <v>60.69576315439373</v>
      </c>
      <c r="P14" s="61">
        <f>M14-O14</f>
        <v>763.1137606551301</v>
      </c>
      <c r="Q14" s="56">
        <f>M14+O14</f>
        <v>884.5052869639176</v>
      </c>
      <c r="R14" s="50">
        <f>O14*L14/1000</f>
        <v>1.1532194999334808</v>
      </c>
    </row>
    <row r="15" spans="1:18" ht="12.75" customHeight="1">
      <c r="A15" s="1">
        <v>15</v>
      </c>
      <c r="B15" s="1" t="s">
        <v>9</v>
      </c>
      <c r="C15" s="1">
        <v>38</v>
      </c>
      <c r="D15" s="1" t="s">
        <v>13</v>
      </c>
      <c r="E15" s="1" t="s">
        <v>80</v>
      </c>
      <c r="F15" s="1">
        <v>475</v>
      </c>
      <c r="G15" s="1">
        <v>53</v>
      </c>
      <c r="H15" s="1">
        <v>11</v>
      </c>
      <c r="J15" s="76"/>
      <c r="K15" s="45" t="s">
        <v>18</v>
      </c>
      <c r="L15" s="39">
        <v>0</v>
      </c>
      <c r="M15" s="41" t="str">
        <f>'Коррел. отношения'!S73</f>
        <v>-</v>
      </c>
      <c r="N15" s="57" t="s">
        <v>44</v>
      </c>
      <c r="O15" s="57" t="s">
        <v>44</v>
      </c>
      <c r="P15" s="62" t="s">
        <v>44</v>
      </c>
      <c r="Q15" s="57" t="s">
        <v>44</v>
      </c>
      <c r="R15" s="50" t="s">
        <v>44</v>
      </c>
    </row>
    <row r="16" spans="1:18" ht="12.75" customHeight="1">
      <c r="A16" s="6">
        <v>30</v>
      </c>
      <c r="B16" s="6" t="s">
        <v>9</v>
      </c>
      <c r="C16" s="6">
        <v>37</v>
      </c>
      <c r="D16" s="6" t="s">
        <v>13</v>
      </c>
      <c r="E16" s="6" t="s">
        <v>80</v>
      </c>
      <c r="F16" s="6">
        <v>571</v>
      </c>
      <c r="G16" s="6">
        <v>41</v>
      </c>
      <c r="H16" s="6">
        <v>12</v>
      </c>
      <c r="J16" s="76"/>
      <c r="K16" s="45" t="s">
        <v>17</v>
      </c>
      <c r="L16" s="40">
        <v>21</v>
      </c>
      <c r="M16" s="43">
        <f>'Коррел. отношения'!S74</f>
        <v>517.6470588235294</v>
      </c>
      <c r="N16" s="59">
        <v>2.08</v>
      </c>
      <c r="O16" s="59">
        <f>$L$29*N16</f>
        <v>60.318770836664584</v>
      </c>
      <c r="P16" s="66">
        <f>M16-O16</f>
        <v>457.3282879868648</v>
      </c>
      <c r="Q16" s="59">
        <f>M16+O16</f>
        <v>577.965829660194</v>
      </c>
      <c r="R16" s="50">
        <f>O16*L16/1000</f>
        <v>1.2666941875699562</v>
      </c>
    </row>
    <row r="17" spans="1:18" ht="12.75" customHeight="1">
      <c r="A17" s="6">
        <v>10</v>
      </c>
      <c r="B17" s="6" t="s">
        <v>9</v>
      </c>
      <c r="C17" s="6">
        <v>36</v>
      </c>
      <c r="D17" s="6" t="s">
        <v>13</v>
      </c>
      <c r="E17" s="6" t="s">
        <v>17</v>
      </c>
      <c r="F17" s="6">
        <v>575</v>
      </c>
      <c r="G17" s="6">
        <v>45</v>
      </c>
      <c r="H17" s="6">
        <v>11</v>
      </c>
      <c r="J17" s="75" t="s">
        <v>13</v>
      </c>
      <c r="K17" s="45" t="s">
        <v>20</v>
      </c>
      <c r="L17" s="39">
        <v>0</v>
      </c>
      <c r="M17" s="41" t="str">
        <f>'Коррел. отношения'!S75</f>
        <v>-</v>
      </c>
      <c r="N17" s="57" t="s">
        <v>44</v>
      </c>
      <c r="O17" s="57" t="s">
        <v>44</v>
      </c>
      <c r="P17" s="62" t="s">
        <v>44</v>
      </c>
      <c r="Q17" s="57" t="s">
        <v>44</v>
      </c>
      <c r="R17" s="50" t="s">
        <v>44</v>
      </c>
    </row>
    <row r="18" spans="1:18" ht="12.75" customHeight="1">
      <c r="A18" s="1">
        <v>94</v>
      </c>
      <c r="B18" s="1" t="s">
        <v>9</v>
      </c>
      <c r="C18" s="1">
        <v>39</v>
      </c>
      <c r="D18" s="1" t="s">
        <v>10</v>
      </c>
      <c r="E18" s="1" t="s">
        <v>17</v>
      </c>
      <c r="F18" s="1">
        <v>579</v>
      </c>
      <c r="G18" s="1">
        <v>47</v>
      </c>
      <c r="H18" s="1">
        <v>10</v>
      </c>
      <c r="J18" s="76"/>
      <c r="K18" s="45" t="s">
        <v>19</v>
      </c>
      <c r="L18" s="39">
        <v>12</v>
      </c>
      <c r="M18" s="41">
        <f>'Коррел. отношения'!S76</f>
        <v>355.55555555555554</v>
      </c>
      <c r="N18" s="56">
        <v>2.179</v>
      </c>
      <c r="O18" s="56">
        <f>$L$29*N18</f>
        <v>63.18971233321736</v>
      </c>
      <c r="P18" s="61">
        <f>M18-O18</f>
        <v>292.3658432223382</v>
      </c>
      <c r="Q18" s="56">
        <f>M18+O18</f>
        <v>418.7452678887729</v>
      </c>
      <c r="R18" s="50">
        <f>O18*L18/1000</f>
        <v>0.7582765479986083</v>
      </c>
    </row>
    <row r="19" spans="1:18" ht="12.75" customHeight="1">
      <c r="A19" s="6">
        <v>101</v>
      </c>
      <c r="B19" s="6" t="s">
        <v>8</v>
      </c>
      <c r="C19" s="6">
        <v>12</v>
      </c>
      <c r="D19" s="1" t="s">
        <v>10</v>
      </c>
      <c r="E19" s="1" t="s">
        <v>80</v>
      </c>
      <c r="F19" s="6">
        <v>610</v>
      </c>
      <c r="G19" s="6">
        <v>40</v>
      </c>
      <c r="H19" s="6">
        <v>8</v>
      </c>
      <c r="J19" s="76"/>
      <c r="K19" s="45" t="s">
        <v>93</v>
      </c>
      <c r="L19" s="39">
        <v>13</v>
      </c>
      <c r="M19" s="41">
        <f>'Коррел. отношения'!S77</f>
        <v>215.3846153846154</v>
      </c>
      <c r="N19" s="56">
        <v>2.161</v>
      </c>
      <c r="O19" s="56">
        <f aca="true" t="shared" si="6" ref="O19:O26">$L$29*N19</f>
        <v>62.66772297020777</v>
      </c>
      <c r="P19" s="61">
        <f>M19-O19</f>
        <v>152.71689241440762</v>
      </c>
      <c r="Q19" s="56">
        <f>M19+O19</f>
        <v>278.0523383548232</v>
      </c>
      <c r="R19" s="50">
        <f>O19*L19/1000</f>
        <v>0.8146803986127009</v>
      </c>
    </row>
    <row r="20" spans="1:18" ht="12.75" customHeight="1">
      <c r="A20" s="1">
        <v>44</v>
      </c>
      <c r="B20" s="1" t="s">
        <v>8</v>
      </c>
      <c r="C20" s="1">
        <v>38</v>
      </c>
      <c r="D20" s="1" t="s">
        <v>13</v>
      </c>
      <c r="E20" s="1" t="s">
        <v>18</v>
      </c>
      <c r="F20" s="1">
        <v>612</v>
      </c>
      <c r="G20" s="1">
        <v>41</v>
      </c>
      <c r="H20" s="1">
        <v>9</v>
      </c>
      <c r="J20" s="76"/>
      <c r="K20" s="45" t="s">
        <v>18</v>
      </c>
      <c r="L20" s="39">
        <v>7</v>
      </c>
      <c r="M20" s="41">
        <f>'Коррел. отношения'!S78</f>
        <v>200</v>
      </c>
      <c r="N20" s="56">
        <v>2.365</v>
      </c>
      <c r="O20" s="56">
        <f t="shared" si="6"/>
        <v>68.58360241764987</v>
      </c>
      <c r="P20" s="61">
        <f>M20-O20</f>
        <v>131.41639758235013</v>
      </c>
      <c r="Q20" s="56">
        <f>M20+O20</f>
        <v>268.5836024176499</v>
      </c>
      <c r="R20" s="50">
        <f>O20*L20/1000</f>
        <v>0.48008521692354905</v>
      </c>
    </row>
    <row r="21" spans="1:18" ht="12.75" customHeight="1">
      <c r="A21" s="2">
        <v>8</v>
      </c>
      <c r="B21" s="2" t="s">
        <v>9</v>
      </c>
      <c r="C21" s="2">
        <v>32</v>
      </c>
      <c r="D21" s="2" t="s">
        <v>10</v>
      </c>
      <c r="E21" s="2" t="s">
        <v>17</v>
      </c>
      <c r="F21" s="2">
        <v>622</v>
      </c>
      <c r="G21" s="2">
        <v>47</v>
      </c>
      <c r="H21" s="2">
        <v>10</v>
      </c>
      <c r="J21" s="76"/>
      <c r="K21" s="45" t="s">
        <v>17</v>
      </c>
      <c r="L21" s="40">
        <v>8</v>
      </c>
      <c r="M21" s="43">
        <f>'Коррел. отношения'!S79</f>
        <v>122.22222222222223</v>
      </c>
      <c r="N21" s="59">
        <v>2.306</v>
      </c>
      <c r="O21" s="59">
        <f t="shared" si="6"/>
        <v>66.87263728334064</v>
      </c>
      <c r="P21" s="66">
        <f>M21-O21</f>
        <v>55.34958493888159</v>
      </c>
      <c r="Q21" s="59">
        <f>M21+O21</f>
        <v>189.09485950556285</v>
      </c>
      <c r="R21" s="50">
        <f>O21*L21/1000</f>
        <v>0.5349810982667251</v>
      </c>
    </row>
    <row r="22" spans="1:18" ht="12.75" customHeight="1">
      <c r="A22" s="1">
        <v>89</v>
      </c>
      <c r="B22" s="1" t="s">
        <v>8</v>
      </c>
      <c r="C22" s="1">
        <v>39</v>
      </c>
      <c r="D22" s="1" t="s">
        <v>10</v>
      </c>
      <c r="E22" s="1" t="s">
        <v>17</v>
      </c>
      <c r="F22" s="1">
        <v>626</v>
      </c>
      <c r="G22" s="1">
        <v>52</v>
      </c>
      <c r="H22" s="1">
        <v>11</v>
      </c>
      <c r="J22" s="72" t="s">
        <v>11</v>
      </c>
      <c r="K22" s="45" t="s">
        <v>20</v>
      </c>
      <c r="L22" s="39">
        <v>0</v>
      </c>
      <c r="M22" s="41" t="str">
        <f>'Коррел. отношения'!S80</f>
        <v>-</v>
      </c>
      <c r="N22" s="57" t="s">
        <v>44</v>
      </c>
      <c r="O22" s="57" t="s">
        <v>44</v>
      </c>
      <c r="P22" s="62" t="s">
        <v>44</v>
      </c>
      <c r="Q22" s="57" t="s">
        <v>44</v>
      </c>
      <c r="R22" s="50" t="s">
        <v>44</v>
      </c>
    </row>
    <row r="23" spans="1:18" ht="12.75" customHeight="1">
      <c r="A23" s="6">
        <v>107</v>
      </c>
      <c r="B23" s="6" t="s">
        <v>8</v>
      </c>
      <c r="C23" s="6">
        <v>32</v>
      </c>
      <c r="D23" s="1" t="s">
        <v>13</v>
      </c>
      <c r="E23" s="1" t="s">
        <v>80</v>
      </c>
      <c r="F23" s="6">
        <v>629</v>
      </c>
      <c r="G23" s="6">
        <v>40</v>
      </c>
      <c r="H23" s="6">
        <v>9</v>
      </c>
      <c r="J23" s="73"/>
      <c r="K23" s="45" t="s">
        <v>19</v>
      </c>
      <c r="L23" s="39">
        <v>6</v>
      </c>
      <c r="M23" s="41">
        <f>'Коррел. отношения'!S81</f>
        <v>100</v>
      </c>
      <c r="N23" s="56">
        <v>2.447</v>
      </c>
      <c r="O23" s="56">
        <f t="shared" si="6"/>
        <v>70.96155396024915</v>
      </c>
      <c r="P23" s="61">
        <f>M23-O23</f>
        <v>29.038446039750852</v>
      </c>
      <c r="Q23" s="56">
        <f>M23+O23</f>
        <v>170.96155396024915</v>
      </c>
      <c r="R23" s="50">
        <f>O23*L23/1000</f>
        <v>0.4257693237614949</v>
      </c>
    </row>
    <row r="24" spans="1:18" ht="12.75" customHeight="1">
      <c r="A24" s="1">
        <v>104</v>
      </c>
      <c r="B24" s="1" t="s">
        <v>9</v>
      </c>
      <c r="C24" s="1">
        <v>37</v>
      </c>
      <c r="D24" s="1" t="s">
        <v>13</v>
      </c>
      <c r="E24" s="1" t="s">
        <v>17</v>
      </c>
      <c r="F24" s="1">
        <v>665</v>
      </c>
      <c r="G24" s="1">
        <v>43</v>
      </c>
      <c r="H24" s="1">
        <v>8</v>
      </c>
      <c r="J24" s="73"/>
      <c r="K24" s="45" t="s">
        <v>93</v>
      </c>
      <c r="L24" s="39">
        <v>8</v>
      </c>
      <c r="M24" s="41">
        <f>'Коррел. отношения'!S82</f>
        <v>100</v>
      </c>
      <c r="N24" s="56">
        <v>2.306</v>
      </c>
      <c r="O24" s="56">
        <f t="shared" si="6"/>
        <v>66.87263728334064</v>
      </c>
      <c r="P24" s="61">
        <f>M24-O24</f>
        <v>33.12736271665936</v>
      </c>
      <c r="Q24" s="56">
        <f>M24+O24</f>
        <v>166.87263728334062</v>
      </c>
      <c r="R24" s="50">
        <f>O24*L24/1000</f>
        <v>0.5349810982667251</v>
      </c>
    </row>
    <row r="25" spans="1:18" ht="12.75" customHeight="1">
      <c r="A25" s="1">
        <v>81</v>
      </c>
      <c r="B25" s="1" t="s">
        <v>9</v>
      </c>
      <c r="C25" s="1">
        <v>47</v>
      </c>
      <c r="D25" s="1" t="s">
        <v>13</v>
      </c>
      <c r="E25" s="1" t="s">
        <v>19</v>
      </c>
      <c r="F25" s="1">
        <v>668</v>
      </c>
      <c r="G25" s="1">
        <v>44</v>
      </c>
      <c r="H25" s="1">
        <v>10</v>
      </c>
      <c r="J25" s="73"/>
      <c r="K25" s="45" t="s">
        <v>18</v>
      </c>
      <c r="L25" s="39">
        <v>4</v>
      </c>
      <c r="M25" s="41">
        <f>'Коррел. отношения'!S83</f>
        <v>100</v>
      </c>
      <c r="N25" s="56">
        <v>2.776</v>
      </c>
      <c r="O25" s="56">
        <f t="shared" si="6"/>
        <v>80.50235953970234</v>
      </c>
      <c r="P25" s="61">
        <f>M25-O25</f>
        <v>19.49764046029766</v>
      </c>
      <c r="Q25" s="56">
        <f>M25+O25</f>
        <v>180.50235953970235</v>
      </c>
      <c r="R25" s="50">
        <f>O25*L25/1000</f>
        <v>0.32200943815880934</v>
      </c>
    </row>
    <row r="26" spans="1:18" ht="12.75" customHeight="1">
      <c r="A26" s="1">
        <v>91</v>
      </c>
      <c r="B26" s="1" t="s">
        <v>9</v>
      </c>
      <c r="C26" s="1">
        <v>56</v>
      </c>
      <c r="D26" s="6" t="s">
        <v>10</v>
      </c>
      <c r="E26" s="6" t="s">
        <v>17</v>
      </c>
      <c r="F26" s="1">
        <v>717</v>
      </c>
      <c r="G26" s="1">
        <v>52</v>
      </c>
      <c r="H26" s="1">
        <v>7</v>
      </c>
      <c r="J26" s="74"/>
      <c r="K26" s="46" t="s">
        <v>17</v>
      </c>
      <c r="L26" s="40">
        <v>10</v>
      </c>
      <c r="M26" s="43">
        <f>'Коррел. отношения'!S84</f>
        <v>100</v>
      </c>
      <c r="N26" s="59">
        <v>2.228</v>
      </c>
      <c r="O26" s="59">
        <f t="shared" si="6"/>
        <v>64.61068337696572</v>
      </c>
      <c r="P26" s="66">
        <f>M26-O26</f>
        <v>35.389316623034276</v>
      </c>
      <c r="Q26" s="59">
        <f>M26+O26</f>
        <v>164.6106833769657</v>
      </c>
      <c r="R26" s="50">
        <f>O26*L26/1000</f>
        <v>0.6461068337696572</v>
      </c>
    </row>
    <row r="27" spans="1:18" ht="12.75" customHeight="1">
      <c r="A27" s="1">
        <v>22</v>
      </c>
      <c r="B27" s="1" t="s">
        <v>9</v>
      </c>
      <c r="C27" s="1">
        <v>51</v>
      </c>
      <c r="D27" s="1" t="s">
        <v>13</v>
      </c>
      <c r="E27" s="1" t="s">
        <v>80</v>
      </c>
      <c r="F27" s="1">
        <v>731</v>
      </c>
      <c r="G27" s="1">
        <v>42</v>
      </c>
      <c r="H27" s="1">
        <v>7</v>
      </c>
      <c r="L27" s="1">
        <f>SUM(L2:L26)</f>
        <v>110</v>
      </c>
      <c r="M27" s="47"/>
      <c r="N27" s="44"/>
      <c r="O27" s="50">
        <f>SUM(O2:O26)</f>
        <v>1402.208426089059</v>
      </c>
      <c r="P27" s="50">
        <f>SUM(P2:P26)</f>
        <v>3032.4105497063874</v>
      </c>
      <c r="Q27" s="50">
        <f>SUM(Q2:Q26)</f>
        <v>5836.827401884505</v>
      </c>
      <c r="R27" s="70">
        <f>SUM(R2:R26)/110</f>
        <v>0.06976124205631849</v>
      </c>
    </row>
    <row r="28" spans="1:18" ht="12.75" customHeight="1">
      <c r="A28" s="6">
        <v>90</v>
      </c>
      <c r="B28" s="6" t="s">
        <v>9</v>
      </c>
      <c r="C28" s="6">
        <v>46</v>
      </c>
      <c r="D28" s="6" t="s">
        <v>10</v>
      </c>
      <c r="E28" s="6" t="s">
        <v>17</v>
      </c>
      <c r="F28" s="6">
        <v>766</v>
      </c>
      <c r="G28" s="6">
        <v>53</v>
      </c>
      <c r="H28" s="6">
        <v>9</v>
      </c>
      <c r="M28" s="1" t="s">
        <v>121</v>
      </c>
      <c r="O28" s="1" t="s">
        <v>144</v>
      </c>
      <c r="P28" s="60">
        <f>P27*100000</f>
        <v>303241054.97063875</v>
      </c>
      <c r="Q28" s="60">
        <f>Q27*100000</f>
        <v>583682740.1884505</v>
      </c>
      <c r="R28" s="60"/>
    </row>
    <row r="29" spans="1:18" ht="12.75" customHeight="1">
      <c r="A29" s="1">
        <v>29</v>
      </c>
      <c r="B29" s="1" t="s">
        <v>8</v>
      </c>
      <c r="C29" s="1">
        <v>40</v>
      </c>
      <c r="D29" s="6" t="s">
        <v>10</v>
      </c>
      <c r="E29" s="6" t="s">
        <v>80</v>
      </c>
      <c r="F29" s="1">
        <v>769</v>
      </c>
      <c r="G29" s="1">
        <v>46</v>
      </c>
      <c r="H29" s="1">
        <v>9</v>
      </c>
      <c r="K29" s="1" t="s">
        <v>145</v>
      </c>
      <c r="L29" s="44">
        <f>'Коррел. отношения'!V79</f>
        <v>28.99940905608874</v>
      </c>
      <c r="M29" s="1" t="s">
        <v>27</v>
      </c>
      <c r="O29" s="1" t="s">
        <v>147</v>
      </c>
      <c r="P29" s="86">
        <f>Q28-P28</f>
        <v>280441685.2178117</v>
      </c>
      <c r="Q29" s="86"/>
      <c r="R29" s="60"/>
    </row>
    <row r="30" spans="1:14" ht="12.75" customHeight="1">
      <c r="A30" s="6">
        <v>79</v>
      </c>
      <c r="B30" s="6" t="s">
        <v>9</v>
      </c>
      <c r="C30" s="6">
        <v>41</v>
      </c>
      <c r="D30" s="6" t="s">
        <v>13</v>
      </c>
      <c r="E30" s="6" t="s">
        <v>19</v>
      </c>
      <c r="F30" s="6">
        <v>776</v>
      </c>
      <c r="G30" s="6">
        <v>53</v>
      </c>
      <c r="H30" s="6">
        <v>8</v>
      </c>
      <c r="M30" s="1" t="s">
        <v>122</v>
      </c>
      <c r="N30" s="44"/>
    </row>
    <row r="31" spans="1:8" ht="12.75" customHeight="1">
      <c r="A31" s="2">
        <v>31</v>
      </c>
      <c r="B31" s="2" t="s">
        <v>8</v>
      </c>
      <c r="C31" s="2">
        <v>59</v>
      </c>
      <c r="D31" s="2" t="s">
        <v>13</v>
      </c>
      <c r="E31" s="2" t="s">
        <v>17</v>
      </c>
      <c r="F31" s="2">
        <v>797</v>
      </c>
      <c r="G31" s="2">
        <v>54</v>
      </c>
      <c r="H31" s="2">
        <v>9</v>
      </c>
    </row>
    <row r="32" spans="1:8" ht="12.75" customHeight="1">
      <c r="A32" s="1">
        <v>69</v>
      </c>
      <c r="B32" s="1" t="s">
        <v>9</v>
      </c>
      <c r="C32" s="1">
        <v>26</v>
      </c>
      <c r="D32" s="6" t="s">
        <v>13</v>
      </c>
      <c r="E32" s="6" t="s">
        <v>80</v>
      </c>
      <c r="F32" s="1">
        <v>803</v>
      </c>
      <c r="G32" s="1">
        <v>55</v>
      </c>
      <c r="H32" s="1">
        <v>6</v>
      </c>
    </row>
    <row r="33" spans="1:8" ht="12.75" customHeight="1">
      <c r="A33" s="6">
        <v>56</v>
      </c>
      <c r="B33" s="6" t="s">
        <v>9</v>
      </c>
      <c r="C33" s="6">
        <v>49</v>
      </c>
      <c r="D33" s="6" t="s">
        <v>13</v>
      </c>
      <c r="E33" s="6" t="s">
        <v>80</v>
      </c>
      <c r="F33" s="6">
        <v>813</v>
      </c>
      <c r="G33" s="6">
        <v>47</v>
      </c>
      <c r="H33" s="6">
        <v>7</v>
      </c>
    </row>
    <row r="34" spans="1:8" ht="12.75" customHeight="1">
      <c r="A34" s="1">
        <v>87</v>
      </c>
      <c r="B34" s="1" t="s">
        <v>9</v>
      </c>
      <c r="C34" s="1">
        <v>44</v>
      </c>
      <c r="D34" s="1" t="s">
        <v>10</v>
      </c>
      <c r="E34" s="1" t="s">
        <v>17</v>
      </c>
      <c r="F34" s="1">
        <v>832</v>
      </c>
      <c r="G34" s="1">
        <v>53</v>
      </c>
      <c r="H34" s="1">
        <v>8</v>
      </c>
    </row>
    <row r="35" spans="1:8" ht="12.75">
      <c r="A35" s="1">
        <v>47</v>
      </c>
      <c r="B35" s="1" t="s">
        <v>9</v>
      </c>
      <c r="C35" s="1">
        <v>43</v>
      </c>
      <c r="D35" s="1" t="s">
        <v>13</v>
      </c>
      <c r="E35" s="1" t="s">
        <v>19</v>
      </c>
      <c r="F35" s="1">
        <v>833</v>
      </c>
      <c r="G35" s="1">
        <v>42</v>
      </c>
      <c r="H35" s="1">
        <v>9</v>
      </c>
    </row>
    <row r="36" spans="1:8" ht="12.75">
      <c r="A36" s="1">
        <v>7</v>
      </c>
      <c r="B36" s="1" t="s">
        <v>9</v>
      </c>
      <c r="C36" s="1">
        <v>48</v>
      </c>
      <c r="D36" s="1" t="s">
        <v>10</v>
      </c>
      <c r="E36" s="1" t="s">
        <v>17</v>
      </c>
      <c r="F36" s="1">
        <v>863</v>
      </c>
      <c r="G36" s="1">
        <v>44</v>
      </c>
      <c r="H36" s="1">
        <v>9</v>
      </c>
    </row>
    <row r="37" spans="1:8" ht="12.75">
      <c r="A37" s="1">
        <v>34</v>
      </c>
      <c r="B37" s="1" t="s">
        <v>9</v>
      </c>
      <c r="C37" s="1">
        <v>41</v>
      </c>
      <c r="D37" s="1" t="s">
        <v>10</v>
      </c>
      <c r="E37" s="1" t="s">
        <v>17</v>
      </c>
      <c r="F37" s="1">
        <v>885</v>
      </c>
      <c r="G37" s="1">
        <v>44</v>
      </c>
      <c r="H37" s="1">
        <v>8</v>
      </c>
    </row>
    <row r="38" spans="1:8" ht="12.75">
      <c r="A38" s="1">
        <v>75</v>
      </c>
      <c r="B38" s="1" t="s">
        <v>8</v>
      </c>
      <c r="C38" s="1">
        <v>30</v>
      </c>
      <c r="D38" s="1" t="s">
        <v>13</v>
      </c>
      <c r="E38" s="1" t="s">
        <v>80</v>
      </c>
      <c r="F38" s="1">
        <v>905</v>
      </c>
      <c r="G38" s="1">
        <v>51</v>
      </c>
      <c r="H38" s="1">
        <v>6</v>
      </c>
    </row>
    <row r="39" spans="1:8" ht="12.75">
      <c r="A39" s="1">
        <v>64</v>
      </c>
      <c r="B39" s="1" t="s">
        <v>9</v>
      </c>
      <c r="C39" s="1">
        <v>31</v>
      </c>
      <c r="D39" s="1" t="s">
        <v>10</v>
      </c>
      <c r="E39" s="1" t="s">
        <v>17</v>
      </c>
      <c r="F39" s="1">
        <v>908</v>
      </c>
      <c r="G39" s="1">
        <v>46</v>
      </c>
      <c r="H39" s="1">
        <v>7</v>
      </c>
    </row>
    <row r="40" spans="1:8" ht="12.75">
      <c r="A40" s="1">
        <v>59</v>
      </c>
      <c r="B40" s="1" t="s">
        <v>8</v>
      </c>
      <c r="C40" s="1">
        <v>35</v>
      </c>
      <c r="D40" s="1" t="s">
        <v>10</v>
      </c>
      <c r="E40" s="1" t="s">
        <v>80</v>
      </c>
      <c r="F40" s="1">
        <v>953</v>
      </c>
      <c r="G40" s="1">
        <v>54</v>
      </c>
      <c r="H40" s="1">
        <v>5</v>
      </c>
    </row>
    <row r="41" spans="1:8" ht="12.75">
      <c r="A41" s="2">
        <v>18</v>
      </c>
      <c r="B41" s="2" t="s">
        <v>9</v>
      </c>
      <c r="C41" s="2">
        <v>51</v>
      </c>
      <c r="D41" s="2" t="s">
        <v>13</v>
      </c>
      <c r="E41" s="2" t="s">
        <v>19</v>
      </c>
      <c r="F41" s="2">
        <v>989</v>
      </c>
      <c r="G41" s="2">
        <v>51</v>
      </c>
      <c r="H41" s="2">
        <v>6</v>
      </c>
    </row>
    <row r="42" spans="1:8" ht="12.75">
      <c r="A42" s="6">
        <v>40</v>
      </c>
      <c r="B42" s="6" t="s">
        <v>9</v>
      </c>
      <c r="C42" s="6">
        <v>36</v>
      </c>
      <c r="D42" s="6" t="s">
        <v>13</v>
      </c>
      <c r="E42" s="6" t="s">
        <v>80</v>
      </c>
      <c r="F42" s="6">
        <v>998</v>
      </c>
      <c r="G42" s="6">
        <v>46</v>
      </c>
      <c r="H42" s="6">
        <v>7</v>
      </c>
    </row>
    <row r="43" spans="1:8" ht="12.75">
      <c r="A43" s="1">
        <v>103</v>
      </c>
      <c r="B43" s="1" t="s">
        <v>8</v>
      </c>
      <c r="C43" s="1">
        <v>34</v>
      </c>
      <c r="D43" s="1" t="s">
        <v>10</v>
      </c>
      <c r="E43" s="1" t="s">
        <v>17</v>
      </c>
      <c r="F43" s="1">
        <v>1028</v>
      </c>
      <c r="G43" s="1">
        <v>50</v>
      </c>
      <c r="H43" s="1">
        <v>6</v>
      </c>
    </row>
    <row r="44" spans="1:8" ht="12.75">
      <c r="A44" s="1">
        <v>16</v>
      </c>
      <c r="B44" s="1" t="s">
        <v>9</v>
      </c>
      <c r="C44" s="1">
        <v>47</v>
      </c>
      <c r="D44" s="1" t="s">
        <v>10</v>
      </c>
      <c r="E44" s="1" t="s">
        <v>80</v>
      </c>
      <c r="F44" s="1">
        <v>1083</v>
      </c>
      <c r="G44" s="1">
        <v>41</v>
      </c>
      <c r="H44" s="1">
        <v>5</v>
      </c>
    </row>
    <row r="45" spans="1:8" ht="12.75">
      <c r="A45" s="1">
        <v>41</v>
      </c>
      <c r="B45" s="1" t="s">
        <v>8</v>
      </c>
      <c r="C45" s="1">
        <v>39</v>
      </c>
      <c r="D45" s="1" t="s">
        <v>10</v>
      </c>
      <c r="E45" s="1" t="s">
        <v>17</v>
      </c>
      <c r="F45" s="1">
        <v>1085</v>
      </c>
      <c r="G45" s="1">
        <v>46</v>
      </c>
      <c r="H45" s="1">
        <v>4</v>
      </c>
    </row>
    <row r="46" spans="1:8" ht="12.75">
      <c r="A46" s="1">
        <v>84</v>
      </c>
      <c r="B46" s="1" t="s">
        <v>8</v>
      </c>
      <c r="C46" s="1">
        <v>39</v>
      </c>
      <c r="D46" s="1" t="s">
        <v>13</v>
      </c>
      <c r="E46" s="1" t="s">
        <v>80</v>
      </c>
      <c r="F46" s="1">
        <v>1105</v>
      </c>
      <c r="G46" s="1">
        <v>45</v>
      </c>
      <c r="H46" s="1">
        <v>6</v>
      </c>
    </row>
    <row r="47" spans="1:8" ht="12.75">
      <c r="A47" s="6">
        <v>50</v>
      </c>
      <c r="B47" s="6" t="s">
        <v>8</v>
      </c>
      <c r="C47" s="6">
        <v>34</v>
      </c>
      <c r="D47" s="6" t="s">
        <v>10</v>
      </c>
      <c r="E47" s="6" t="s">
        <v>80</v>
      </c>
      <c r="F47" s="6">
        <v>1140</v>
      </c>
      <c r="G47" s="6">
        <v>53</v>
      </c>
      <c r="H47" s="6">
        <v>6</v>
      </c>
    </row>
    <row r="48" spans="1:8" ht="12.75">
      <c r="A48" s="6">
        <v>83</v>
      </c>
      <c r="B48" s="6" t="s">
        <v>8</v>
      </c>
      <c r="C48" s="6">
        <v>30</v>
      </c>
      <c r="D48" s="6" t="s">
        <v>10</v>
      </c>
      <c r="E48" s="6" t="s">
        <v>80</v>
      </c>
      <c r="F48" s="6">
        <v>1145</v>
      </c>
      <c r="G48" s="6">
        <v>48</v>
      </c>
      <c r="H48" s="6">
        <v>6</v>
      </c>
    </row>
    <row r="49" spans="1:8" ht="12.75">
      <c r="A49" s="1">
        <v>67</v>
      </c>
      <c r="B49" s="1" t="s">
        <v>8</v>
      </c>
      <c r="C49" s="1">
        <v>48</v>
      </c>
      <c r="D49" s="1" t="s">
        <v>10</v>
      </c>
      <c r="E49" s="1" t="s">
        <v>80</v>
      </c>
      <c r="F49" s="1">
        <v>1168</v>
      </c>
      <c r="G49" s="1">
        <v>52</v>
      </c>
      <c r="H49" s="1">
        <v>4</v>
      </c>
    </row>
    <row r="50" spans="1:8" ht="12.75">
      <c r="A50" s="1">
        <v>78</v>
      </c>
      <c r="B50" s="1" t="s">
        <v>9</v>
      </c>
      <c r="C50" s="1">
        <v>53</v>
      </c>
      <c r="D50" s="1" t="s">
        <v>13</v>
      </c>
      <c r="E50" s="1" t="s">
        <v>17</v>
      </c>
      <c r="F50" s="1">
        <v>1213</v>
      </c>
      <c r="G50" s="1">
        <v>55</v>
      </c>
      <c r="H50" s="1">
        <v>5</v>
      </c>
    </row>
    <row r="51" spans="1:8" ht="12.75">
      <c r="A51" s="2">
        <v>92</v>
      </c>
      <c r="B51" s="2" t="s">
        <v>9</v>
      </c>
      <c r="C51" s="2">
        <v>41</v>
      </c>
      <c r="D51" s="2" t="s">
        <v>13</v>
      </c>
      <c r="E51" s="2" t="s">
        <v>17</v>
      </c>
      <c r="F51" s="2">
        <v>1226</v>
      </c>
      <c r="G51" s="2">
        <v>55</v>
      </c>
      <c r="H51" s="2">
        <v>6</v>
      </c>
    </row>
    <row r="52" spans="1:8" ht="12.75">
      <c r="A52" s="1">
        <v>73</v>
      </c>
      <c r="B52" s="1" t="s">
        <v>8</v>
      </c>
      <c r="C52" s="1">
        <v>43</v>
      </c>
      <c r="D52" s="1" t="s">
        <v>10</v>
      </c>
      <c r="E52" s="1" t="s">
        <v>80</v>
      </c>
      <c r="F52" s="1">
        <v>1229</v>
      </c>
      <c r="G52" s="1">
        <v>42</v>
      </c>
      <c r="H52" s="1">
        <v>5</v>
      </c>
    </row>
    <row r="53" spans="1:8" ht="12.75">
      <c r="A53" s="6">
        <v>63</v>
      </c>
      <c r="B53" s="6" t="s">
        <v>8</v>
      </c>
      <c r="C53" s="6">
        <v>58</v>
      </c>
      <c r="D53" s="6" t="s">
        <v>10</v>
      </c>
      <c r="E53" s="6" t="s">
        <v>17</v>
      </c>
      <c r="F53" s="6">
        <v>1236</v>
      </c>
      <c r="G53" s="6">
        <v>45</v>
      </c>
      <c r="H53" s="6">
        <v>4</v>
      </c>
    </row>
    <row r="54" spans="1:8" ht="12.75">
      <c r="A54" s="1">
        <v>43</v>
      </c>
      <c r="B54" s="1" t="s">
        <v>9</v>
      </c>
      <c r="C54" s="1">
        <v>44</v>
      </c>
      <c r="D54" s="1" t="s">
        <v>13</v>
      </c>
      <c r="E54" s="1" t="s">
        <v>80</v>
      </c>
      <c r="F54" s="1">
        <v>1336</v>
      </c>
      <c r="G54" s="1">
        <v>51</v>
      </c>
      <c r="H54" s="1">
        <v>5</v>
      </c>
    </row>
    <row r="55" spans="1:8" ht="12.75">
      <c r="A55" s="1">
        <v>72</v>
      </c>
      <c r="B55" s="1" t="s">
        <v>9</v>
      </c>
      <c r="C55" s="1">
        <v>51</v>
      </c>
      <c r="D55" s="1" t="s">
        <v>10</v>
      </c>
      <c r="E55" s="1" t="s">
        <v>17</v>
      </c>
      <c r="F55" s="1">
        <v>1338</v>
      </c>
      <c r="G55" s="1">
        <v>50</v>
      </c>
      <c r="H55" s="1">
        <v>6</v>
      </c>
    </row>
    <row r="56" spans="1:8" ht="12.75">
      <c r="A56" s="6">
        <v>60</v>
      </c>
      <c r="B56" s="6" t="s">
        <v>8</v>
      </c>
      <c r="C56" s="6">
        <v>58</v>
      </c>
      <c r="D56" s="6" t="s">
        <v>13</v>
      </c>
      <c r="E56" s="6" t="s">
        <v>80</v>
      </c>
      <c r="F56" s="6">
        <v>1383</v>
      </c>
      <c r="G56" s="6">
        <v>41</v>
      </c>
      <c r="H56" s="6">
        <v>5</v>
      </c>
    </row>
    <row r="57" spans="1:8" ht="12.75">
      <c r="A57" s="1">
        <v>98</v>
      </c>
      <c r="B57" s="1" t="s">
        <v>8</v>
      </c>
      <c r="C57" s="1">
        <v>46</v>
      </c>
      <c r="D57" s="1" t="s">
        <v>13</v>
      </c>
      <c r="E57" s="1" t="s">
        <v>18</v>
      </c>
      <c r="F57" s="1">
        <v>1449</v>
      </c>
      <c r="G57" s="1">
        <v>51</v>
      </c>
      <c r="H57" s="1">
        <v>4</v>
      </c>
    </row>
    <row r="58" spans="1:8" ht="12.75">
      <c r="A58" s="1">
        <v>61</v>
      </c>
      <c r="B58" s="1" t="s">
        <v>8</v>
      </c>
      <c r="C58" s="1">
        <v>30</v>
      </c>
      <c r="D58" s="1" t="s">
        <v>13</v>
      </c>
      <c r="E58" s="1" t="s">
        <v>19</v>
      </c>
      <c r="F58" s="1">
        <v>1461</v>
      </c>
      <c r="G58" s="1">
        <v>44</v>
      </c>
      <c r="H58" s="1">
        <v>4</v>
      </c>
    </row>
    <row r="59" spans="1:8" ht="12.75">
      <c r="A59" s="6">
        <v>93</v>
      </c>
      <c r="B59" s="6" t="s">
        <v>9</v>
      </c>
      <c r="C59" s="6">
        <v>20</v>
      </c>
      <c r="D59" s="6" t="s">
        <v>10</v>
      </c>
      <c r="E59" s="6" t="s">
        <v>80</v>
      </c>
      <c r="F59" s="6">
        <v>1461</v>
      </c>
      <c r="G59" s="6">
        <v>47</v>
      </c>
      <c r="H59" s="6">
        <v>4</v>
      </c>
    </row>
    <row r="60" spans="1:8" ht="12.75">
      <c r="A60" s="1">
        <v>23</v>
      </c>
      <c r="B60" s="1" t="s">
        <v>8</v>
      </c>
      <c r="C60" s="1">
        <v>49</v>
      </c>
      <c r="D60" s="1" t="s">
        <v>10</v>
      </c>
      <c r="E60" s="1" t="s">
        <v>80</v>
      </c>
      <c r="F60" s="1">
        <v>1478</v>
      </c>
      <c r="G60" s="1">
        <v>54</v>
      </c>
      <c r="H60" s="1">
        <v>3</v>
      </c>
    </row>
    <row r="61" spans="1:8" ht="12.75">
      <c r="A61" s="2">
        <v>27</v>
      </c>
      <c r="B61" s="2" t="s">
        <v>8</v>
      </c>
      <c r="C61" s="2">
        <v>50</v>
      </c>
      <c r="D61" s="2" t="s">
        <v>13</v>
      </c>
      <c r="E61" s="2" t="s">
        <v>19</v>
      </c>
      <c r="F61" s="2">
        <v>1497</v>
      </c>
      <c r="G61" s="2">
        <v>44</v>
      </c>
      <c r="H61" s="2">
        <v>4</v>
      </c>
    </row>
    <row r="62" spans="1:8" ht="12.75">
      <c r="A62" s="6">
        <v>35</v>
      </c>
      <c r="B62" s="6" t="s">
        <v>8</v>
      </c>
      <c r="C62" s="6">
        <v>32</v>
      </c>
      <c r="D62" s="6" t="s">
        <v>10</v>
      </c>
      <c r="E62" s="6" t="s">
        <v>80</v>
      </c>
      <c r="F62" s="6">
        <v>1497</v>
      </c>
      <c r="G62" s="6">
        <v>52</v>
      </c>
      <c r="H62" s="6">
        <v>5</v>
      </c>
    </row>
    <row r="63" spans="1:8" ht="12.75">
      <c r="A63" s="1">
        <v>53</v>
      </c>
      <c r="B63" s="1" t="s">
        <v>8</v>
      </c>
      <c r="C63" s="1">
        <v>29</v>
      </c>
      <c r="D63" s="1" t="s">
        <v>10</v>
      </c>
      <c r="E63" s="1" t="s">
        <v>17</v>
      </c>
      <c r="F63" s="1">
        <v>1502</v>
      </c>
      <c r="G63" s="1">
        <v>42</v>
      </c>
      <c r="H63" s="1">
        <v>4</v>
      </c>
    </row>
    <row r="64" spans="1:8" ht="12.75">
      <c r="A64" s="1">
        <v>99</v>
      </c>
      <c r="B64" s="1" t="s">
        <v>9</v>
      </c>
      <c r="C64" s="1">
        <v>28</v>
      </c>
      <c r="D64" s="1" t="s">
        <v>13</v>
      </c>
      <c r="E64" s="1" t="s">
        <v>80</v>
      </c>
      <c r="F64" s="1">
        <v>1508</v>
      </c>
      <c r="G64" s="1">
        <v>52</v>
      </c>
      <c r="H64" s="1">
        <v>5</v>
      </c>
    </row>
    <row r="65" spans="1:8" ht="12.75">
      <c r="A65" s="1">
        <v>96</v>
      </c>
      <c r="B65" s="1" t="s">
        <v>9</v>
      </c>
      <c r="C65" s="1">
        <v>46</v>
      </c>
      <c r="D65" s="1" t="s">
        <v>10</v>
      </c>
      <c r="E65" s="1" t="s">
        <v>80</v>
      </c>
      <c r="F65" s="1">
        <v>1521</v>
      </c>
      <c r="G65" s="1">
        <v>52</v>
      </c>
      <c r="H65" s="1">
        <v>4</v>
      </c>
    </row>
    <row r="66" spans="1:8" ht="12.75">
      <c r="A66" s="6">
        <v>11</v>
      </c>
      <c r="B66" s="6" t="s">
        <v>8</v>
      </c>
      <c r="C66" s="6">
        <v>36</v>
      </c>
      <c r="D66" s="6" t="s">
        <v>13</v>
      </c>
      <c r="E66" s="6" t="s">
        <v>19</v>
      </c>
      <c r="F66" s="6">
        <v>1583</v>
      </c>
      <c r="G66" s="6">
        <v>43</v>
      </c>
      <c r="H66" s="6">
        <v>5</v>
      </c>
    </row>
    <row r="67" spans="1:8" ht="12.75">
      <c r="A67" s="1">
        <v>102</v>
      </c>
      <c r="B67" s="1" t="s">
        <v>8</v>
      </c>
      <c r="C67" s="1">
        <v>37</v>
      </c>
      <c r="D67" s="1" t="s">
        <v>10</v>
      </c>
      <c r="E67" s="1" t="s">
        <v>17</v>
      </c>
      <c r="F67" s="1">
        <v>1597</v>
      </c>
      <c r="G67" s="1">
        <v>45</v>
      </c>
      <c r="H67" s="1">
        <v>5</v>
      </c>
    </row>
    <row r="68" spans="1:8" ht="12.75">
      <c r="A68" s="1">
        <v>82</v>
      </c>
      <c r="B68" s="1" t="s">
        <v>9</v>
      </c>
      <c r="C68" s="1">
        <v>44</v>
      </c>
      <c r="D68" s="1" t="s">
        <v>10</v>
      </c>
      <c r="E68" s="1" t="s">
        <v>80</v>
      </c>
      <c r="F68" s="1">
        <v>1618</v>
      </c>
      <c r="G68" s="1">
        <v>48</v>
      </c>
      <c r="H68" s="1">
        <v>4</v>
      </c>
    </row>
    <row r="69" spans="1:8" ht="12.75">
      <c r="A69" s="1">
        <v>46</v>
      </c>
      <c r="B69" s="1" t="s">
        <v>9</v>
      </c>
      <c r="C69" s="1">
        <v>49</v>
      </c>
      <c r="D69" s="1" t="s">
        <v>13</v>
      </c>
      <c r="E69" s="1" t="s">
        <v>19</v>
      </c>
      <c r="F69" s="1">
        <v>1727</v>
      </c>
      <c r="G69" s="1">
        <v>46</v>
      </c>
      <c r="H69" s="1">
        <v>4</v>
      </c>
    </row>
    <row r="70" spans="1:8" ht="12.75">
      <c r="A70" s="1">
        <v>77</v>
      </c>
      <c r="B70" s="1" t="s">
        <v>8</v>
      </c>
      <c r="C70" s="1">
        <v>38</v>
      </c>
      <c r="D70" s="1" t="s">
        <v>13</v>
      </c>
      <c r="E70" s="1" t="s">
        <v>18</v>
      </c>
      <c r="F70" s="1">
        <v>1749</v>
      </c>
      <c r="G70" s="1">
        <v>46</v>
      </c>
      <c r="H70" s="1">
        <v>4</v>
      </c>
    </row>
    <row r="71" spans="1:8" ht="12.75">
      <c r="A71" s="2">
        <v>51</v>
      </c>
      <c r="B71" s="2" t="s">
        <v>8</v>
      </c>
      <c r="C71" s="2">
        <v>27</v>
      </c>
      <c r="D71" s="2" t="s">
        <v>10</v>
      </c>
      <c r="E71" s="2" t="s">
        <v>17</v>
      </c>
      <c r="F71" s="2">
        <v>1885</v>
      </c>
      <c r="G71" s="2">
        <v>47</v>
      </c>
      <c r="H71" s="2">
        <v>3</v>
      </c>
    </row>
    <row r="72" spans="1:8" ht="12.75">
      <c r="A72" s="1">
        <v>3</v>
      </c>
      <c r="B72" s="1" t="s">
        <v>9</v>
      </c>
      <c r="C72" s="1">
        <v>44</v>
      </c>
      <c r="D72" s="1" t="s">
        <v>10</v>
      </c>
      <c r="E72" s="1" t="s">
        <v>80</v>
      </c>
      <c r="F72" s="1">
        <v>2122</v>
      </c>
      <c r="G72" s="1">
        <v>40</v>
      </c>
      <c r="H72" s="1">
        <v>3</v>
      </c>
    </row>
    <row r="73" spans="1:8" ht="12.75">
      <c r="A73" s="1">
        <v>28</v>
      </c>
      <c r="B73" s="1" t="s">
        <v>9</v>
      </c>
      <c r="C73" s="1">
        <v>53</v>
      </c>
      <c r="D73" s="1" t="s">
        <v>11</v>
      </c>
      <c r="E73" s="1" t="s">
        <v>17</v>
      </c>
      <c r="F73" s="1">
        <v>2123</v>
      </c>
      <c r="G73" s="1">
        <v>46</v>
      </c>
      <c r="H73" s="1">
        <v>3</v>
      </c>
    </row>
    <row r="74" spans="1:8" ht="12.75">
      <c r="A74" s="1">
        <v>9</v>
      </c>
      <c r="B74" s="1" t="s">
        <v>9</v>
      </c>
      <c r="C74" s="1">
        <v>36</v>
      </c>
      <c r="D74" s="1" t="s">
        <v>10</v>
      </c>
      <c r="E74" s="1" t="s">
        <v>80</v>
      </c>
      <c r="F74" s="1">
        <v>2165</v>
      </c>
      <c r="G74" s="1">
        <v>48</v>
      </c>
      <c r="H74" s="1">
        <v>4</v>
      </c>
    </row>
    <row r="75" spans="1:8" ht="12.75">
      <c r="A75" s="1">
        <v>65</v>
      </c>
      <c r="B75" s="1" t="s">
        <v>9</v>
      </c>
      <c r="C75" s="1">
        <v>29</v>
      </c>
      <c r="D75" s="1" t="s">
        <v>11</v>
      </c>
      <c r="E75" s="1" t="s">
        <v>80</v>
      </c>
      <c r="F75" s="1">
        <v>2167</v>
      </c>
      <c r="G75" s="1">
        <v>40</v>
      </c>
      <c r="H75" s="1">
        <v>4</v>
      </c>
    </row>
    <row r="76" spans="1:8" ht="12.75">
      <c r="A76" s="1">
        <v>38</v>
      </c>
      <c r="B76" s="1" t="s">
        <v>8</v>
      </c>
      <c r="C76" s="1">
        <v>17</v>
      </c>
      <c r="D76" s="1" t="s">
        <v>10</v>
      </c>
      <c r="E76" s="1" t="s">
        <v>17</v>
      </c>
      <c r="F76" s="1">
        <v>2185</v>
      </c>
      <c r="G76" s="1">
        <v>40</v>
      </c>
      <c r="H76" s="1">
        <v>3</v>
      </c>
    </row>
    <row r="77" spans="1:8" ht="12.75">
      <c r="A77" s="1">
        <v>106</v>
      </c>
      <c r="B77" s="1" t="s">
        <v>9</v>
      </c>
      <c r="C77" s="1">
        <v>45</v>
      </c>
      <c r="D77" s="1" t="s">
        <v>11</v>
      </c>
      <c r="E77" s="1" t="s">
        <v>17</v>
      </c>
      <c r="F77" s="1">
        <v>2195</v>
      </c>
      <c r="G77" s="1">
        <v>52</v>
      </c>
      <c r="H77" s="1">
        <v>4</v>
      </c>
    </row>
    <row r="78" spans="1:8" ht="12.75">
      <c r="A78" s="1">
        <v>6</v>
      </c>
      <c r="B78" s="1" t="s">
        <v>8</v>
      </c>
      <c r="C78" s="1">
        <v>31</v>
      </c>
      <c r="D78" s="1" t="s">
        <v>10</v>
      </c>
      <c r="E78" s="1" t="s">
        <v>17</v>
      </c>
      <c r="F78" s="1">
        <v>2255</v>
      </c>
      <c r="G78" s="1">
        <v>42</v>
      </c>
      <c r="H78" s="1">
        <v>3</v>
      </c>
    </row>
    <row r="79" spans="1:8" ht="12.75">
      <c r="A79" s="1">
        <v>71</v>
      </c>
      <c r="B79" s="1" t="s">
        <v>9</v>
      </c>
      <c r="C79" s="1">
        <v>43</v>
      </c>
      <c r="D79" s="1" t="s">
        <v>11</v>
      </c>
      <c r="E79" s="1" t="s">
        <v>80</v>
      </c>
      <c r="F79" s="1">
        <v>2256</v>
      </c>
      <c r="G79" s="1">
        <v>41</v>
      </c>
      <c r="H79" s="1">
        <v>3</v>
      </c>
    </row>
    <row r="80" spans="1:8" ht="12.75">
      <c r="A80" s="6">
        <v>100</v>
      </c>
      <c r="B80" s="6" t="s">
        <v>9</v>
      </c>
      <c r="C80" s="6">
        <v>31</v>
      </c>
      <c r="D80" s="6" t="s">
        <v>11</v>
      </c>
      <c r="E80" s="6" t="s">
        <v>19</v>
      </c>
      <c r="F80" s="6">
        <v>2276</v>
      </c>
      <c r="G80" s="6">
        <v>40</v>
      </c>
      <c r="H80" s="6">
        <v>4</v>
      </c>
    </row>
    <row r="81" spans="1:8" ht="12.75">
      <c r="A81" s="2">
        <v>37</v>
      </c>
      <c r="B81" s="2" t="s">
        <v>8</v>
      </c>
      <c r="C81" s="2">
        <v>56</v>
      </c>
      <c r="D81" s="2" t="s">
        <v>10</v>
      </c>
      <c r="E81" s="2" t="s">
        <v>80</v>
      </c>
      <c r="F81" s="2">
        <v>2278</v>
      </c>
      <c r="G81" s="2">
        <v>55</v>
      </c>
      <c r="H81" s="2">
        <v>3</v>
      </c>
    </row>
    <row r="82" spans="1:8" ht="12.75">
      <c r="A82" s="1">
        <v>76</v>
      </c>
      <c r="B82" s="1" t="s">
        <v>9</v>
      </c>
      <c r="C82" s="1">
        <v>31</v>
      </c>
      <c r="D82" s="1" t="s">
        <v>11</v>
      </c>
      <c r="E82" s="1" t="s">
        <v>18</v>
      </c>
      <c r="F82" s="1">
        <v>2279</v>
      </c>
      <c r="G82" s="1">
        <v>55</v>
      </c>
      <c r="H82" s="1">
        <v>3</v>
      </c>
    </row>
    <row r="83" spans="1:8" ht="12.75">
      <c r="A83" s="6">
        <v>70</v>
      </c>
      <c r="B83" s="6" t="s">
        <v>9</v>
      </c>
      <c r="C83" s="6">
        <v>37</v>
      </c>
      <c r="D83" s="6" t="s">
        <v>10</v>
      </c>
      <c r="E83" s="6" t="s">
        <v>17</v>
      </c>
      <c r="F83" s="6">
        <v>2285</v>
      </c>
      <c r="G83" s="6">
        <v>47</v>
      </c>
      <c r="H83" s="6">
        <v>3</v>
      </c>
    </row>
    <row r="84" spans="1:8" ht="12.75">
      <c r="A84" s="1">
        <v>68</v>
      </c>
      <c r="B84" s="1" t="s">
        <v>8</v>
      </c>
      <c r="C84" s="1">
        <v>40</v>
      </c>
      <c r="D84" s="1" t="s">
        <v>11</v>
      </c>
      <c r="E84" s="1" t="s">
        <v>80</v>
      </c>
      <c r="F84" s="1">
        <v>2312</v>
      </c>
      <c r="G84" s="1">
        <v>55</v>
      </c>
      <c r="H84" s="1">
        <v>3</v>
      </c>
    </row>
    <row r="85" spans="1:8" ht="12.75">
      <c r="A85" s="1">
        <v>25</v>
      </c>
      <c r="B85" s="1" t="s">
        <v>8</v>
      </c>
      <c r="C85" s="1">
        <v>42</v>
      </c>
      <c r="D85" s="1" t="s">
        <v>10</v>
      </c>
      <c r="E85" s="1" t="s">
        <v>80</v>
      </c>
      <c r="F85" s="1">
        <v>2348</v>
      </c>
      <c r="G85" s="1">
        <v>40</v>
      </c>
      <c r="H85" s="1">
        <v>2</v>
      </c>
    </row>
    <row r="86" spans="1:8" ht="12.75">
      <c r="A86" s="1">
        <v>54</v>
      </c>
      <c r="B86" s="1" t="s">
        <v>8</v>
      </c>
      <c r="C86" s="1">
        <v>34</v>
      </c>
      <c r="D86" s="1" t="s">
        <v>10</v>
      </c>
      <c r="E86" s="1" t="s">
        <v>80</v>
      </c>
      <c r="F86" s="1">
        <v>2412</v>
      </c>
      <c r="G86" s="1">
        <v>45</v>
      </c>
      <c r="H86" s="1">
        <v>3</v>
      </c>
    </row>
    <row r="87" spans="1:8" ht="12.75">
      <c r="A87" s="6">
        <v>80</v>
      </c>
      <c r="B87" s="6" t="s">
        <v>9</v>
      </c>
      <c r="C87" s="6">
        <v>40</v>
      </c>
      <c r="D87" s="6" t="s">
        <v>11</v>
      </c>
      <c r="E87" s="6" t="s">
        <v>17</v>
      </c>
      <c r="F87" s="6">
        <v>2542</v>
      </c>
      <c r="G87" s="6">
        <v>51</v>
      </c>
      <c r="H87" s="6">
        <v>2</v>
      </c>
    </row>
    <row r="88" spans="1:8" ht="12.75">
      <c r="A88" s="1">
        <v>85</v>
      </c>
      <c r="B88" s="1" t="s">
        <v>9</v>
      </c>
      <c r="C88" s="1">
        <v>47</v>
      </c>
      <c r="D88" s="1" t="s">
        <v>10</v>
      </c>
      <c r="E88" s="1" t="s">
        <v>17</v>
      </c>
      <c r="F88" s="1">
        <v>2589</v>
      </c>
      <c r="G88" s="1">
        <v>45</v>
      </c>
      <c r="H88" s="1">
        <v>3</v>
      </c>
    </row>
    <row r="89" spans="1:8" ht="12.75">
      <c r="A89" s="1">
        <v>55</v>
      </c>
      <c r="B89" s="1" t="s">
        <v>9</v>
      </c>
      <c r="C89" s="1">
        <v>19</v>
      </c>
      <c r="D89" s="1" t="s">
        <v>11</v>
      </c>
      <c r="E89" s="1" t="s">
        <v>17</v>
      </c>
      <c r="F89" s="1">
        <v>2613</v>
      </c>
      <c r="G89" s="1">
        <v>49</v>
      </c>
      <c r="H89" s="1">
        <v>3</v>
      </c>
    </row>
    <row r="90" spans="1:8" ht="12.75">
      <c r="A90" s="6">
        <v>20</v>
      </c>
      <c r="B90" s="6" t="s">
        <v>9</v>
      </c>
      <c r="C90" s="6">
        <v>41</v>
      </c>
      <c r="D90" s="6" t="s">
        <v>11</v>
      </c>
      <c r="E90" s="6" t="s">
        <v>17</v>
      </c>
      <c r="F90" s="6">
        <v>2616</v>
      </c>
      <c r="G90" s="6">
        <v>41</v>
      </c>
      <c r="H90" s="6">
        <v>2</v>
      </c>
    </row>
    <row r="91" spans="1:8" ht="12.75">
      <c r="A91" s="2">
        <v>45</v>
      </c>
      <c r="B91" s="2" t="s">
        <v>9</v>
      </c>
      <c r="C91" s="2">
        <v>35</v>
      </c>
      <c r="D91" s="1" t="s">
        <v>11</v>
      </c>
      <c r="E91" s="1" t="s">
        <v>17</v>
      </c>
      <c r="F91" s="2">
        <v>2627</v>
      </c>
      <c r="G91" s="2">
        <v>55</v>
      </c>
      <c r="H91" s="2">
        <v>2</v>
      </c>
    </row>
    <row r="92" spans="1:8" ht="12.75">
      <c r="A92" s="1">
        <v>49</v>
      </c>
      <c r="B92" s="1" t="s">
        <v>9</v>
      </c>
      <c r="C92" s="1">
        <v>24</v>
      </c>
      <c r="D92" s="2" t="s">
        <v>10</v>
      </c>
      <c r="E92" s="2" t="s">
        <v>17</v>
      </c>
      <c r="F92" s="1">
        <v>2650</v>
      </c>
      <c r="G92" s="1">
        <v>44</v>
      </c>
      <c r="H92" s="1">
        <v>2</v>
      </c>
    </row>
    <row r="93" spans="1:8" ht="12.75">
      <c r="A93" s="1">
        <v>97</v>
      </c>
      <c r="B93" s="1" t="s">
        <v>8</v>
      </c>
      <c r="C93" s="1">
        <v>42</v>
      </c>
      <c r="D93" s="1" t="s">
        <v>10</v>
      </c>
      <c r="E93" s="1" t="s">
        <v>80</v>
      </c>
      <c r="F93" s="1">
        <v>2764</v>
      </c>
      <c r="G93" s="1">
        <v>44</v>
      </c>
      <c r="H93" s="1">
        <v>2</v>
      </c>
    </row>
    <row r="94" spans="1:8" ht="12.75">
      <c r="A94" s="1">
        <v>58</v>
      </c>
      <c r="B94" s="1" t="s">
        <v>9</v>
      </c>
      <c r="C94" s="1">
        <v>32</v>
      </c>
      <c r="D94" s="1" t="s">
        <v>11</v>
      </c>
      <c r="E94" s="1" t="s">
        <v>80</v>
      </c>
      <c r="F94" s="1">
        <v>2835</v>
      </c>
      <c r="G94" s="1">
        <v>46</v>
      </c>
      <c r="H94" s="1">
        <v>3</v>
      </c>
    </row>
    <row r="95" spans="1:8" ht="12.75">
      <c r="A95" s="1">
        <v>42</v>
      </c>
      <c r="B95" s="1" t="s">
        <v>9</v>
      </c>
      <c r="C95" s="1">
        <v>46</v>
      </c>
      <c r="D95" s="1" t="s">
        <v>11</v>
      </c>
      <c r="E95" s="1" t="s">
        <v>80</v>
      </c>
      <c r="F95" s="1">
        <v>2856</v>
      </c>
      <c r="G95" s="1">
        <v>51</v>
      </c>
      <c r="H95" s="1">
        <v>2</v>
      </c>
    </row>
    <row r="96" spans="1:8" ht="12.75">
      <c r="A96" s="1">
        <v>21</v>
      </c>
      <c r="B96" s="1" t="s">
        <v>8</v>
      </c>
      <c r="C96" s="1">
        <v>41</v>
      </c>
      <c r="D96" s="1" t="s">
        <v>11</v>
      </c>
      <c r="E96" s="1" t="s">
        <v>17</v>
      </c>
      <c r="F96" s="1">
        <v>2908</v>
      </c>
      <c r="G96" s="1">
        <v>45</v>
      </c>
      <c r="H96" s="1">
        <v>3</v>
      </c>
    </row>
    <row r="97" spans="1:8" ht="12.75">
      <c r="A97" s="6">
        <v>36</v>
      </c>
      <c r="B97" s="6" t="s">
        <v>9</v>
      </c>
      <c r="C97" s="6">
        <v>15</v>
      </c>
      <c r="D97" s="6" t="s">
        <v>15</v>
      </c>
      <c r="E97" s="6" t="s">
        <v>20</v>
      </c>
      <c r="F97" s="6">
        <v>3028</v>
      </c>
      <c r="G97" s="6">
        <v>48</v>
      </c>
      <c r="H97" s="6">
        <v>2</v>
      </c>
    </row>
    <row r="98" spans="1:8" ht="12.75">
      <c r="A98" s="1">
        <v>52</v>
      </c>
      <c r="B98" s="1" t="s">
        <v>9</v>
      </c>
      <c r="C98" s="1">
        <v>37</v>
      </c>
      <c r="D98" s="1" t="s">
        <v>11</v>
      </c>
      <c r="E98" s="1" t="s">
        <v>17</v>
      </c>
      <c r="F98" s="1">
        <v>3169</v>
      </c>
      <c r="G98" s="1">
        <v>42</v>
      </c>
      <c r="H98" s="1">
        <v>2</v>
      </c>
    </row>
    <row r="99" spans="1:8" ht="12.75">
      <c r="A99" s="6">
        <v>109</v>
      </c>
      <c r="B99" s="6" t="s">
        <v>9</v>
      </c>
      <c r="C99" s="6">
        <v>33</v>
      </c>
      <c r="D99" s="6" t="s">
        <v>11</v>
      </c>
      <c r="E99" s="6" t="s">
        <v>80</v>
      </c>
      <c r="F99" s="6">
        <v>3230</v>
      </c>
      <c r="G99" s="6">
        <v>43</v>
      </c>
      <c r="H99" s="6">
        <v>2</v>
      </c>
    </row>
    <row r="100" spans="1:8" ht="12.75">
      <c r="A100" s="1">
        <v>5</v>
      </c>
      <c r="B100" s="1" t="s">
        <v>9</v>
      </c>
      <c r="C100" s="1">
        <v>42</v>
      </c>
      <c r="D100" s="1" t="s">
        <v>11</v>
      </c>
      <c r="E100" s="1" t="s">
        <v>19</v>
      </c>
      <c r="F100" s="1">
        <v>3302</v>
      </c>
      <c r="G100" s="1">
        <v>52</v>
      </c>
      <c r="H100" s="1">
        <v>2</v>
      </c>
    </row>
    <row r="101" spans="1:8" ht="12.75">
      <c r="A101" s="2">
        <v>1</v>
      </c>
      <c r="B101" s="2" t="s">
        <v>9</v>
      </c>
      <c r="C101" s="2">
        <v>51</v>
      </c>
      <c r="D101" s="2" t="s">
        <v>11</v>
      </c>
      <c r="E101" s="2" t="s">
        <v>80</v>
      </c>
      <c r="F101" s="2">
        <v>3563</v>
      </c>
      <c r="G101" s="2">
        <v>46</v>
      </c>
      <c r="H101" s="2">
        <v>2</v>
      </c>
    </row>
    <row r="102" spans="1:8" ht="12.75">
      <c r="A102" s="1">
        <v>74</v>
      </c>
      <c r="B102" s="1" t="s">
        <v>8</v>
      </c>
      <c r="C102" s="1">
        <v>35</v>
      </c>
      <c r="D102" s="1" t="s">
        <v>11</v>
      </c>
      <c r="E102" s="1" t="s">
        <v>18</v>
      </c>
      <c r="F102" s="1">
        <v>3837</v>
      </c>
      <c r="G102" s="1">
        <v>47</v>
      </c>
      <c r="H102" s="1">
        <v>2</v>
      </c>
    </row>
    <row r="103" spans="1:8" ht="12.75">
      <c r="A103" s="1">
        <v>57</v>
      </c>
      <c r="B103" s="1" t="s">
        <v>8</v>
      </c>
      <c r="C103" s="1">
        <v>50</v>
      </c>
      <c r="D103" s="1" t="s">
        <v>11</v>
      </c>
      <c r="E103" s="1" t="s">
        <v>80</v>
      </c>
      <c r="F103" s="1">
        <v>4021</v>
      </c>
      <c r="G103" s="1">
        <v>45</v>
      </c>
      <c r="H103" s="1">
        <v>2</v>
      </c>
    </row>
    <row r="104" spans="1:8" ht="12.75">
      <c r="A104" s="1">
        <v>86</v>
      </c>
      <c r="B104" s="1" t="s">
        <v>9</v>
      </c>
      <c r="C104" s="1">
        <v>25</v>
      </c>
      <c r="D104" s="1" t="s">
        <v>11</v>
      </c>
      <c r="E104" s="1" t="s">
        <v>18</v>
      </c>
      <c r="F104" s="1">
        <v>4332</v>
      </c>
      <c r="G104" s="1">
        <v>51</v>
      </c>
      <c r="H104" s="1">
        <v>2</v>
      </c>
    </row>
    <row r="105" spans="1:8" ht="12.75">
      <c r="A105" s="1">
        <v>17</v>
      </c>
      <c r="B105" s="1" t="s">
        <v>8</v>
      </c>
      <c r="C105" s="1">
        <v>28</v>
      </c>
      <c r="D105" s="1" t="s">
        <v>11</v>
      </c>
      <c r="E105" s="1" t="s">
        <v>19</v>
      </c>
      <c r="F105" s="1">
        <v>4624</v>
      </c>
      <c r="G105" s="1">
        <v>46</v>
      </c>
      <c r="H105" s="1">
        <v>2</v>
      </c>
    </row>
    <row r="106" spans="1:8" ht="12.75">
      <c r="A106" s="1">
        <v>33</v>
      </c>
      <c r="B106" s="1" t="s">
        <v>8</v>
      </c>
      <c r="C106" s="1">
        <v>35</v>
      </c>
      <c r="D106" s="1" t="s">
        <v>11</v>
      </c>
      <c r="E106" s="1" t="s">
        <v>19</v>
      </c>
      <c r="F106" s="1">
        <v>4847</v>
      </c>
      <c r="G106" s="1">
        <v>52</v>
      </c>
      <c r="H106" s="1">
        <v>1</v>
      </c>
    </row>
    <row r="107" spans="1:8" ht="12.75">
      <c r="A107" s="1">
        <v>39</v>
      </c>
      <c r="B107" s="1" t="s">
        <v>9</v>
      </c>
      <c r="C107" s="1">
        <v>20</v>
      </c>
      <c r="D107" s="1" t="s">
        <v>11</v>
      </c>
      <c r="E107" s="1" t="s">
        <v>19</v>
      </c>
      <c r="F107" s="1">
        <v>5052</v>
      </c>
      <c r="G107" s="1">
        <v>43</v>
      </c>
      <c r="H107" s="1">
        <v>2</v>
      </c>
    </row>
    <row r="108" spans="1:8" ht="12.75">
      <c r="A108" s="1">
        <v>48</v>
      </c>
      <c r="B108" s="1" t="s">
        <v>8</v>
      </c>
      <c r="C108" s="1">
        <v>47</v>
      </c>
      <c r="D108" s="1" t="s">
        <v>11</v>
      </c>
      <c r="E108" s="1" t="s">
        <v>17</v>
      </c>
      <c r="F108" s="1">
        <v>5316</v>
      </c>
      <c r="G108" s="1">
        <v>51</v>
      </c>
      <c r="H108" s="1">
        <v>1</v>
      </c>
    </row>
    <row r="109" spans="1:8" ht="12.75">
      <c r="A109" s="1">
        <v>19</v>
      </c>
      <c r="B109" s="1" t="s">
        <v>8</v>
      </c>
      <c r="C109" s="1">
        <v>39</v>
      </c>
      <c r="D109" s="1" t="s">
        <v>11</v>
      </c>
      <c r="E109" s="1" t="s">
        <v>19</v>
      </c>
      <c r="F109" s="1">
        <v>5516</v>
      </c>
      <c r="G109" s="1">
        <v>52</v>
      </c>
      <c r="H109" s="1">
        <v>1</v>
      </c>
    </row>
    <row r="110" spans="1:8" ht="12.75">
      <c r="A110" s="6">
        <v>4</v>
      </c>
      <c r="B110" s="6" t="s">
        <v>8</v>
      </c>
      <c r="C110" s="6">
        <v>44</v>
      </c>
      <c r="D110" s="6" t="s">
        <v>11</v>
      </c>
      <c r="E110" s="6" t="s">
        <v>17</v>
      </c>
      <c r="F110" s="6">
        <v>5541</v>
      </c>
      <c r="G110" s="6">
        <v>50</v>
      </c>
      <c r="H110" s="6">
        <v>2</v>
      </c>
    </row>
    <row r="111" spans="1:8" ht="12.75">
      <c r="A111" s="2">
        <v>88</v>
      </c>
      <c r="B111" s="2" t="s">
        <v>8</v>
      </c>
      <c r="C111" s="2">
        <v>55</v>
      </c>
      <c r="D111" s="2" t="s">
        <v>11</v>
      </c>
      <c r="E111" s="2" t="s">
        <v>18</v>
      </c>
      <c r="F111" s="2">
        <v>5636</v>
      </c>
      <c r="G111" s="2">
        <v>48</v>
      </c>
      <c r="H111" s="2">
        <v>2</v>
      </c>
    </row>
  </sheetData>
  <mergeCells count="7">
    <mergeCell ref="P1:Q1"/>
    <mergeCell ref="P29:Q29"/>
    <mergeCell ref="J22:J26"/>
    <mergeCell ref="J2:J6"/>
    <mergeCell ref="J7:J11"/>
    <mergeCell ref="J12:J16"/>
    <mergeCell ref="J17:J21"/>
  </mergeCells>
  <printOptions/>
  <pageMargins left="0.3937007874015748" right="0.3937007874015748" top="0.3937007874015748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75" zoomScaleNormal="75" workbookViewId="0" topLeftCell="A1">
      <selection activeCell="V6" sqref="V6"/>
    </sheetView>
  </sheetViews>
  <sheetFormatPr defaultColWidth="9.00390625" defaultRowHeight="12.75"/>
  <cols>
    <col min="1" max="1" width="4.625" style="0" customWidth="1"/>
    <col min="2" max="2" width="4.875" style="0" customWidth="1"/>
    <col min="3" max="3" width="4.75390625" style="0" customWidth="1"/>
    <col min="4" max="4" width="19.875" style="0" customWidth="1"/>
    <col min="5" max="5" width="14.00390625" style="0" customWidth="1"/>
    <col min="9" max="9" width="14.75390625" style="0" customWidth="1"/>
  </cols>
  <sheetData>
    <row r="1" spans="1:9" ht="25.5">
      <c r="A1" s="17" t="s">
        <v>12</v>
      </c>
      <c r="B1" s="17" t="s">
        <v>0</v>
      </c>
      <c r="C1" s="18" t="s">
        <v>1</v>
      </c>
      <c r="D1" s="17" t="s">
        <v>2</v>
      </c>
      <c r="E1" s="17" t="s">
        <v>3</v>
      </c>
      <c r="F1" s="17" t="s">
        <v>4</v>
      </c>
      <c r="G1" s="18" t="s">
        <v>5</v>
      </c>
      <c r="H1" s="18" t="s">
        <v>6</v>
      </c>
      <c r="I1" s="19" t="s">
        <v>7</v>
      </c>
    </row>
    <row r="2" spans="1:9" ht="12.75">
      <c r="A2" s="22">
        <v>82</v>
      </c>
      <c r="B2" s="22" t="s">
        <v>8</v>
      </c>
      <c r="C2" s="22">
        <v>36</v>
      </c>
      <c r="D2" s="22" t="s">
        <v>13</v>
      </c>
      <c r="E2" s="22" t="s">
        <v>19</v>
      </c>
      <c r="F2" s="22">
        <v>261</v>
      </c>
      <c r="G2" s="22">
        <v>46</v>
      </c>
      <c r="H2" s="22">
        <v>23</v>
      </c>
      <c r="I2" s="23">
        <v>100</v>
      </c>
    </row>
    <row r="3" spans="1:9" ht="12.75">
      <c r="A3" s="22">
        <v>55</v>
      </c>
      <c r="B3" s="22" t="s">
        <v>9</v>
      </c>
      <c r="C3" s="22">
        <v>31</v>
      </c>
      <c r="D3" s="22" t="s">
        <v>13</v>
      </c>
      <c r="E3" s="22" t="s">
        <v>18</v>
      </c>
      <c r="F3" s="22">
        <v>287</v>
      </c>
      <c r="G3" s="22">
        <v>42</v>
      </c>
      <c r="H3" s="22">
        <v>20</v>
      </c>
      <c r="I3" s="23">
        <v>100</v>
      </c>
    </row>
    <row r="4" spans="1:9" ht="12.75">
      <c r="A4" s="22">
        <v>59</v>
      </c>
      <c r="B4" s="22" t="s">
        <v>8</v>
      </c>
      <c r="C4" s="22">
        <v>48</v>
      </c>
      <c r="D4" s="22" t="s">
        <v>13</v>
      </c>
      <c r="E4" s="22" t="s">
        <v>17</v>
      </c>
      <c r="F4" s="22">
        <v>354</v>
      </c>
      <c r="G4" s="22">
        <v>53</v>
      </c>
      <c r="H4" s="22">
        <v>12</v>
      </c>
      <c r="I4" s="23">
        <v>100</v>
      </c>
    </row>
    <row r="5" spans="1:9" ht="12.75">
      <c r="A5" s="22">
        <v>91</v>
      </c>
      <c r="B5" s="22" t="s">
        <v>9</v>
      </c>
      <c r="C5" s="22">
        <v>43</v>
      </c>
      <c r="D5" s="22" t="s">
        <v>13</v>
      </c>
      <c r="E5" s="22" t="s">
        <v>16</v>
      </c>
      <c r="F5" s="22">
        <v>392</v>
      </c>
      <c r="G5" s="22">
        <v>44</v>
      </c>
      <c r="H5" s="22">
        <v>18</v>
      </c>
      <c r="I5" s="23">
        <v>100</v>
      </c>
    </row>
    <row r="6" spans="1:9" ht="12.75">
      <c r="A6" s="22">
        <v>99</v>
      </c>
      <c r="B6" s="22" t="s">
        <v>8</v>
      </c>
      <c r="C6" s="22">
        <v>21</v>
      </c>
      <c r="D6" s="22" t="s">
        <v>14</v>
      </c>
      <c r="E6" s="22" t="s">
        <v>18</v>
      </c>
      <c r="F6" s="22">
        <v>482</v>
      </c>
      <c r="G6" s="22">
        <v>53</v>
      </c>
      <c r="H6" s="22">
        <v>10</v>
      </c>
      <c r="I6" s="23">
        <v>100</v>
      </c>
    </row>
    <row r="7" spans="1:9" ht="12.75">
      <c r="A7" s="22">
        <v>96</v>
      </c>
      <c r="B7" s="22" t="s">
        <v>8</v>
      </c>
      <c r="C7" s="22">
        <v>55</v>
      </c>
      <c r="D7" s="22" t="s">
        <v>13</v>
      </c>
      <c r="E7" s="22" t="s">
        <v>17</v>
      </c>
      <c r="F7" s="22">
        <v>503</v>
      </c>
      <c r="G7" s="22">
        <v>47</v>
      </c>
      <c r="H7" s="22">
        <v>14</v>
      </c>
      <c r="I7" s="23">
        <v>100</v>
      </c>
    </row>
    <row r="8" spans="1:9" ht="12.75">
      <c r="A8" s="22">
        <v>66</v>
      </c>
      <c r="B8" s="22" t="s">
        <v>9</v>
      </c>
      <c r="C8" s="22">
        <v>32</v>
      </c>
      <c r="D8" s="22" t="s">
        <v>10</v>
      </c>
      <c r="E8" s="22" t="s">
        <v>16</v>
      </c>
      <c r="F8" s="22">
        <v>516</v>
      </c>
      <c r="G8" s="22">
        <v>42</v>
      </c>
      <c r="H8" s="22">
        <v>8</v>
      </c>
      <c r="I8" s="23">
        <v>100</v>
      </c>
    </row>
    <row r="9" spans="1:9" ht="12.75">
      <c r="A9" s="22">
        <v>32</v>
      </c>
      <c r="B9" s="22" t="s">
        <v>9</v>
      </c>
      <c r="C9" s="22">
        <v>26</v>
      </c>
      <c r="D9" s="22" t="s">
        <v>13</v>
      </c>
      <c r="E9" s="22" t="s">
        <v>19</v>
      </c>
      <c r="F9" s="22">
        <v>579</v>
      </c>
      <c r="G9" s="22">
        <v>44</v>
      </c>
      <c r="H9" s="22">
        <v>8</v>
      </c>
      <c r="I9" s="23">
        <v>100</v>
      </c>
    </row>
    <row r="10" spans="1:9" ht="12.75">
      <c r="A10" s="22">
        <v>11</v>
      </c>
      <c r="B10" s="22" t="s">
        <v>8</v>
      </c>
      <c r="C10" s="22">
        <v>21</v>
      </c>
      <c r="D10" s="22" t="s">
        <v>14</v>
      </c>
      <c r="E10" s="22" t="s">
        <v>18</v>
      </c>
      <c r="F10" s="22">
        <v>581</v>
      </c>
      <c r="G10" s="22">
        <v>43</v>
      </c>
      <c r="H10" s="22">
        <v>13</v>
      </c>
      <c r="I10" s="23">
        <v>100</v>
      </c>
    </row>
    <row r="11" spans="1:9" ht="12.75">
      <c r="A11" s="17">
        <v>7</v>
      </c>
      <c r="B11" s="17" t="s">
        <v>8</v>
      </c>
      <c r="C11" s="17">
        <v>33</v>
      </c>
      <c r="D11" s="17" t="s">
        <v>10</v>
      </c>
      <c r="E11" s="17" t="s">
        <v>17</v>
      </c>
      <c r="F11" s="17">
        <v>612</v>
      </c>
      <c r="G11" s="17">
        <v>45</v>
      </c>
      <c r="H11" s="17">
        <v>10</v>
      </c>
      <c r="I11" s="26">
        <v>100</v>
      </c>
    </row>
    <row r="12" spans="1:9" ht="12.75">
      <c r="A12" s="22">
        <v>26</v>
      </c>
      <c r="B12" s="22" t="s">
        <v>8</v>
      </c>
      <c r="C12" s="22">
        <v>34</v>
      </c>
      <c r="D12" s="22" t="s">
        <v>13</v>
      </c>
      <c r="E12" s="22" t="s">
        <v>18</v>
      </c>
      <c r="F12" s="22">
        <v>763</v>
      </c>
      <c r="G12" s="22">
        <v>51</v>
      </c>
      <c r="H12" s="22">
        <v>8</v>
      </c>
      <c r="I12" s="23">
        <v>100</v>
      </c>
    </row>
    <row r="13" spans="1:9" ht="12.75">
      <c r="A13" s="22">
        <v>36</v>
      </c>
      <c r="B13" s="22" t="s">
        <v>8</v>
      </c>
      <c r="C13" s="22">
        <v>30</v>
      </c>
      <c r="D13" s="22" t="s">
        <v>10</v>
      </c>
      <c r="E13" s="22" t="s">
        <v>17</v>
      </c>
      <c r="F13" s="22">
        <v>894</v>
      </c>
      <c r="G13" s="22">
        <v>52</v>
      </c>
      <c r="H13" s="22">
        <v>7</v>
      </c>
      <c r="I13" s="23">
        <v>100</v>
      </c>
    </row>
    <row r="14" spans="1:9" ht="12.75">
      <c r="A14" s="22">
        <v>52</v>
      </c>
      <c r="B14" s="22" t="s">
        <v>8</v>
      </c>
      <c r="C14" s="22">
        <v>35</v>
      </c>
      <c r="D14" s="22" t="s">
        <v>13</v>
      </c>
      <c r="E14" s="22" t="s">
        <v>16</v>
      </c>
      <c r="F14" s="22">
        <v>971</v>
      </c>
      <c r="G14" s="22">
        <v>45</v>
      </c>
      <c r="H14" s="22">
        <v>7</v>
      </c>
      <c r="I14" s="23">
        <v>100</v>
      </c>
    </row>
    <row r="15" spans="1:9" ht="12.75">
      <c r="A15" s="22">
        <v>87</v>
      </c>
      <c r="B15" s="22" t="s">
        <v>8</v>
      </c>
      <c r="C15" s="22">
        <v>30</v>
      </c>
      <c r="D15" s="22" t="s">
        <v>10</v>
      </c>
      <c r="E15" s="22" t="s">
        <v>16</v>
      </c>
      <c r="F15" s="22">
        <v>994</v>
      </c>
      <c r="G15" s="22">
        <v>50</v>
      </c>
      <c r="H15" s="22">
        <v>6</v>
      </c>
      <c r="I15" s="23">
        <v>100</v>
      </c>
    </row>
    <row r="16" spans="1:9" ht="12.75">
      <c r="A16" s="22">
        <v>30</v>
      </c>
      <c r="B16" s="22" t="s">
        <v>9</v>
      </c>
      <c r="C16" s="22">
        <v>37</v>
      </c>
      <c r="D16" s="22" t="s">
        <v>13</v>
      </c>
      <c r="E16" s="22" t="s">
        <v>19</v>
      </c>
      <c r="F16" s="22">
        <v>996</v>
      </c>
      <c r="G16" s="22">
        <v>46</v>
      </c>
      <c r="H16" s="22">
        <v>5</v>
      </c>
      <c r="I16" s="23">
        <v>100</v>
      </c>
    </row>
    <row r="17" spans="1:9" ht="12.75">
      <c r="A17" s="22">
        <v>107</v>
      </c>
      <c r="B17" s="22" t="s">
        <v>9</v>
      </c>
      <c r="C17" s="22">
        <v>23</v>
      </c>
      <c r="D17" s="22" t="s">
        <v>13</v>
      </c>
      <c r="E17" s="22" t="s">
        <v>16</v>
      </c>
      <c r="F17" s="22">
        <v>1015</v>
      </c>
      <c r="G17" s="22">
        <v>49</v>
      </c>
      <c r="H17" s="22">
        <v>6</v>
      </c>
      <c r="I17" s="23">
        <v>100</v>
      </c>
    </row>
    <row r="18" spans="1:9" ht="12.75">
      <c r="A18" s="22">
        <v>57</v>
      </c>
      <c r="B18" s="22" t="s">
        <v>9</v>
      </c>
      <c r="C18" s="22">
        <v>25</v>
      </c>
      <c r="D18" s="22" t="s">
        <v>10</v>
      </c>
      <c r="E18" s="22" t="s">
        <v>16</v>
      </c>
      <c r="F18" s="22">
        <v>1082</v>
      </c>
      <c r="G18" s="22">
        <v>46</v>
      </c>
      <c r="H18" s="22">
        <v>6</v>
      </c>
      <c r="I18" s="23">
        <v>100</v>
      </c>
    </row>
    <row r="19" spans="1:9" ht="12.75">
      <c r="A19" s="22">
        <v>18</v>
      </c>
      <c r="B19" s="22" t="s">
        <v>8</v>
      </c>
      <c r="C19" s="22">
        <v>39</v>
      </c>
      <c r="D19" s="22" t="s">
        <v>13</v>
      </c>
      <c r="E19" s="22" t="s">
        <v>16</v>
      </c>
      <c r="F19" s="22">
        <v>1117</v>
      </c>
      <c r="G19" s="22">
        <v>52</v>
      </c>
      <c r="H19" s="22">
        <v>4</v>
      </c>
      <c r="I19" s="23">
        <v>100</v>
      </c>
    </row>
    <row r="20" spans="1:9" ht="12.75">
      <c r="A20" s="22">
        <v>42</v>
      </c>
      <c r="B20" s="22" t="s">
        <v>8</v>
      </c>
      <c r="C20" s="22">
        <v>18</v>
      </c>
      <c r="D20" s="22" t="s">
        <v>13</v>
      </c>
      <c r="E20" s="22" t="s">
        <v>16</v>
      </c>
      <c r="F20" s="22">
        <v>1187</v>
      </c>
      <c r="G20" s="22">
        <v>46</v>
      </c>
      <c r="H20" s="22">
        <v>4</v>
      </c>
      <c r="I20" s="23">
        <v>100</v>
      </c>
    </row>
    <row r="21" spans="1:9" ht="12.75">
      <c r="A21" s="17">
        <v>80</v>
      </c>
      <c r="B21" s="17" t="s">
        <v>9</v>
      </c>
      <c r="C21" s="17">
        <v>25</v>
      </c>
      <c r="D21" s="17" t="s">
        <v>10</v>
      </c>
      <c r="E21" s="17" t="s">
        <v>17</v>
      </c>
      <c r="F21" s="17">
        <v>1217</v>
      </c>
      <c r="G21" s="17">
        <v>44</v>
      </c>
      <c r="H21" s="17">
        <v>4</v>
      </c>
      <c r="I21" s="26">
        <v>100</v>
      </c>
    </row>
    <row r="22" spans="1:9" ht="12.75">
      <c r="A22" s="22">
        <v>79</v>
      </c>
      <c r="B22" s="22" t="s">
        <v>8</v>
      </c>
      <c r="C22" s="22">
        <v>17</v>
      </c>
      <c r="D22" s="22" t="s">
        <v>13</v>
      </c>
      <c r="E22" s="22" t="s">
        <v>16</v>
      </c>
      <c r="F22" s="22">
        <v>1460</v>
      </c>
      <c r="G22" s="22">
        <v>44</v>
      </c>
      <c r="H22" s="22">
        <v>3</v>
      </c>
      <c r="I22" s="23">
        <v>100</v>
      </c>
    </row>
    <row r="23" spans="1:9" ht="12.75">
      <c r="A23" s="22">
        <v>1</v>
      </c>
      <c r="B23" s="22" t="s">
        <v>8</v>
      </c>
      <c r="C23" s="22">
        <v>55</v>
      </c>
      <c r="D23" s="22" t="s">
        <v>10</v>
      </c>
      <c r="E23" s="22" t="s">
        <v>16</v>
      </c>
      <c r="F23" s="22">
        <v>1547</v>
      </c>
      <c r="G23" s="22">
        <v>46</v>
      </c>
      <c r="H23" s="22">
        <v>3</v>
      </c>
      <c r="I23" s="23">
        <v>100</v>
      </c>
    </row>
    <row r="24" spans="1:9" ht="12.75">
      <c r="A24" s="22">
        <v>70</v>
      </c>
      <c r="B24" s="22" t="s">
        <v>8</v>
      </c>
      <c r="C24" s="22">
        <v>28</v>
      </c>
      <c r="D24" s="22" t="s">
        <v>10</v>
      </c>
      <c r="E24" s="22" t="s">
        <v>16</v>
      </c>
      <c r="F24" s="22">
        <v>1773</v>
      </c>
      <c r="G24" s="22">
        <v>48</v>
      </c>
      <c r="H24" s="22">
        <v>3</v>
      </c>
      <c r="I24" s="23">
        <v>100</v>
      </c>
    </row>
    <row r="25" spans="1:9" ht="12.75">
      <c r="A25" s="22">
        <v>5</v>
      </c>
      <c r="B25" s="22" t="s">
        <v>9</v>
      </c>
      <c r="C25" s="22">
        <v>35</v>
      </c>
      <c r="D25" s="22" t="s">
        <v>10</v>
      </c>
      <c r="E25" s="22" t="s">
        <v>16</v>
      </c>
      <c r="F25" s="22">
        <v>1930</v>
      </c>
      <c r="G25" s="22">
        <v>42</v>
      </c>
      <c r="H25" s="22">
        <v>4</v>
      </c>
      <c r="I25" s="23">
        <v>100</v>
      </c>
    </row>
    <row r="26" spans="1:9" ht="12.75">
      <c r="A26" s="22">
        <v>38</v>
      </c>
      <c r="B26" s="22" t="s">
        <v>9</v>
      </c>
      <c r="C26" s="22">
        <v>68</v>
      </c>
      <c r="D26" s="22" t="s">
        <v>11</v>
      </c>
      <c r="E26" s="22" t="s">
        <v>18</v>
      </c>
      <c r="F26" s="22">
        <v>2046</v>
      </c>
      <c r="G26" s="22">
        <v>42</v>
      </c>
      <c r="H26" s="22">
        <v>3</v>
      </c>
      <c r="I26" s="23">
        <v>100</v>
      </c>
    </row>
    <row r="27" spans="1:9" ht="12.75">
      <c r="A27" s="22">
        <v>101</v>
      </c>
      <c r="B27" s="22" t="s">
        <v>9</v>
      </c>
      <c r="C27" s="22">
        <v>27</v>
      </c>
      <c r="D27" s="22" t="s">
        <v>11</v>
      </c>
      <c r="E27" s="22" t="s">
        <v>16</v>
      </c>
      <c r="F27" s="22">
        <v>2142</v>
      </c>
      <c r="G27" s="22">
        <v>46</v>
      </c>
      <c r="H27" s="22">
        <v>3</v>
      </c>
      <c r="I27" s="23">
        <v>100</v>
      </c>
    </row>
    <row r="28" spans="1:9" ht="12.75">
      <c r="A28" s="22">
        <v>105</v>
      </c>
      <c r="B28" s="22" t="s">
        <v>9</v>
      </c>
      <c r="C28" s="22">
        <v>29</v>
      </c>
      <c r="D28" s="22" t="s">
        <v>10</v>
      </c>
      <c r="E28" s="22" t="s">
        <v>17</v>
      </c>
      <c r="F28" s="22">
        <v>2310</v>
      </c>
      <c r="G28" s="22">
        <v>42</v>
      </c>
      <c r="H28" s="22">
        <v>2</v>
      </c>
      <c r="I28" s="23">
        <v>100</v>
      </c>
    </row>
    <row r="29" spans="1:9" ht="12.75">
      <c r="A29" s="22">
        <v>94</v>
      </c>
      <c r="B29" s="22" t="s">
        <v>9</v>
      </c>
      <c r="C29" s="22">
        <v>15</v>
      </c>
      <c r="D29" s="22" t="s">
        <v>15</v>
      </c>
      <c r="E29" s="22" t="s">
        <v>20</v>
      </c>
      <c r="F29" s="22">
        <v>2543</v>
      </c>
      <c r="G29" s="22">
        <v>53</v>
      </c>
      <c r="H29" s="22">
        <v>3</v>
      </c>
      <c r="I29" s="23">
        <v>100</v>
      </c>
    </row>
    <row r="30" spans="1:9" ht="12.75">
      <c r="A30" s="22">
        <v>95</v>
      </c>
      <c r="B30" s="22" t="s">
        <v>9</v>
      </c>
      <c r="C30" s="22">
        <v>25</v>
      </c>
      <c r="D30" s="22" t="s">
        <v>11</v>
      </c>
      <c r="E30" s="22" t="s">
        <v>16</v>
      </c>
      <c r="F30" s="22">
        <v>2661</v>
      </c>
      <c r="G30" s="22">
        <v>48</v>
      </c>
      <c r="H30" s="22">
        <v>2</v>
      </c>
      <c r="I30" s="23">
        <v>100</v>
      </c>
    </row>
    <row r="31" spans="1:9" ht="12.75">
      <c r="A31" s="17">
        <v>21</v>
      </c>
      <c r="B31" s="17" t="s">
        <v>9</v>
      </c>
      <c r="C31" s="17">
        <v>23</v>
      </c>
      <c r="D31" s="17" t="s">
        <v>10</v>
      </c>
      <c r="E31" s="17" t="s">
        <v>16</v>
      </c>
      <c r="F31" s="17">
        <v>2754</v>
      </c>
      <c r="G31" s="17">
        <v>53</v>
      </c>
      <c r="H31" s="17">
        <v>2</v>
      </c>
      <c r="I31" s="26">
        <v>100</v>
      </c>
    </row>
    <row r="32" spans="1:9" ht="12.75">
      <c r="A32" s="22">
        <v>28</v>
      </c>
      <c r="B32" s="22" t="s">
        <v>8</v>
      </c>
      <c r="C32" s="22">
        <v>50</v>
      </c>
      <c r="D32" s="22" t="s">
        <v>11</v>
      </c>
      <c r="E32" s="22" t="s">
        <v>19</v>
      </c>
      <c r="F32" s="22">
        <v>3014</v>
      </c>
      <c r="G32" s="22">
        <v>41</v>
      </c>
      <c r="H32" s="22">
        <v>2</v>
      </c>
      <c r="I32" s="23">
        <v>100</v>
      </c>
    </row>
    <row r="33" spans="1:9" ht="12.75">
      <c r="A33" s="22">
        <v>2</v>
      </c>
      <c r="B33" s="22" t="s">
        <v>8</v>
      </c>
      <c r="C33" s="22">
        <v>22</v>
      </c>
      <c r="D33" s="22" t="s">
        <v>11</v>
      </c>
      <c r="E33" s="22" t="s">
        <v>17</v>
      </c>
      <c r="F33" s="22">
        <v>4156</v>
      </c>
      <c r="G33" s="22">
        <v>49</v>
      </c>
      <c r="H33" s="22">
        <v>2</v>
      </c>
      <c r="I33" s="23">
        <v>100</v>
      </c>
    </row>
    <row r="34" spans="1:9" ht="12.75">
      <c r="A34" s="22">
        <v>45</v>
      </c>
      <c r="B34" s="22" t="s">
        <v>9</v>
      </c>
      <c r="C34" s="22">
        <v>28</v>
      </c>
      <c r="D34" s="22" t="s">
        <v>11</v>
      </c>
      <c r="E34" s="22" t="s">
        <v>17</v>
      </c>
      <c r="F34" s="22">
        <v>4260</v>
      </c>
      <c r="G34" s="22">
        <v>42</v>
      </c>
      <c r="H34" s="22">
        <v>1</v>
      </c>
      <c r="I34" s="23">
        <v>100</v>
      </c>
    </row>
    <row r="35" spans="1:9" ht="12.75">
      <c r="A35" s="22">
        <v>65</v>
      </c>
      <c r="B35" s="22" t="s">
        <v>9</v>
      </c>
      <c r="C35" s="22">
        <v>38</v>
      </c>
      <c r="D35" s="22" t="s">
        <v>11</v>
      </c>
      <c r="E35" s="22" t="s">
        <v>17</v>
      </c>
      <c r="F35" s="22">
        <v>4998</v>
      </c>
      <c r="G35" s="22">
        <v>41</v>
      </c>
      <c r="H35" s="22">
        <v>2</v>
      </c>
      <c r="I35" s="23">
        <v>100</v>
      </c>
    </row>
    <row r="36" spans="1:9" ht="12.75">
      <c r="A36" s="22">
        <v>41</v>
      </c>
      <c r="B36" s="22" t="s">
        <v>8</v>
      </c>
      <c r="C36" s="22">
        <v>20</v>
      </c>
      <c r="D36" s="22" t="s">
        <v>11</v>
      </c>
      <c r="E36" s="22" t="s">
        <v>19</v>
      </c>
      <c r="F36" s="22">
        <v>5906</v>
      </c>
      <c r="G36" s="22">
        <v>53</v>
      </c>
      <c r="H36" s="22">
        <v>2</v>
      </c>
      <c r="I36" s="23">
        <v>100</v>
      </c>
    </row>
    <row r="37" spans="1:9" ht="12.75">
      <c r="A37" s="22">
        <v>74</v>
      </c>
      <c r="B37" s="22" t="s">
        <v>8</v>
      </c>
      <c r="C37" s="22">
        <v>29</v>
      </c>
      <c r="D37" s="22" t="s">
        <v>13</v>
      </c>
      <c r="E37" s="22" t="s">
        <v>16</v>
      </c>
      <c r="F37" s="22">
        <v>409</v>
      </c>
      <c r="G37" s="22">
        <v>51</v>
      </c>
      <c r="H37" s="22">
        <v>12</v>
      </c>
      <c r="I37" s="23">
        <v>200</v>
      </c>
    </row>
    <row r="38" spans="1:9" ht="12.75">
      <c r="A38" s="22">
        <v>76</v>
      </c>
      <c r="B38" s="22" t="s">
        <v>9</v>
      </c>
      <c r="C38" s="22">
        <v>40</v>
      </c>
      <c r="D38" s="22" t="s">
        <v>13</v>
      </c>
      <c r="E38" s="22" t="s">
        <v>18</v>
      </c>
      <c r="F38" s="22">
        <v>431</v>
      </c>
      <c r="G38" s="22">
        <v>40</v>
      </c>
      <c r="H38" s="22">
        <v>13</v>
      </c>
      <c r="I38" s="23">
        <v>200</v>
      </c>
    </row>
    <row r="39" spans="1:9" ht="12.75">
      <c r="A39" s="22">
        <v>20</v>
      </c>
      <c r="B39" s="22" t="s">
        <v>9</v>
      </c>
      <c r="C39" s="22">
        <v>39</v>
      </c>
      <c r="D39" s="22" t="s">
        <v>13</v>
      </c>
      <c r="E39" s="22" t="s">
        <v>17</v>
      </c>
      <c r="F39" s="22">
        <v>531</v>
      </c>
      <c r="G39" s="22">
        <v>40</v>
      </c>
      <c r="H39" s="22">
        <v>9</v>
      </c>
      <c r="I39" s="23">
        <v>200</v>
      </c>
    </row>
    <row r="40" spans="1:9" ht="12.75">
      <c r="A40" s="22">
        <v>63</v>
      </c>
      <c r="B40" s="22" t="s">
        <v>8</v>
      </c>
      <c r="C40" s="22">
        <v>25</v>
      </c>
      <c r="D40" s="22" t="s">
        <v>14</v>
      </c>
      <c r="E40" s="22" t="s">
        <v>18</v>
      </c>
      <c r="F40" s="22">
        <v>802</v>
      </c>
      <c r="G40" s="22">
        <v>41</v>
      </c>
      <c r="H40" s="22">
        <v>8</v>
      </c>
      <c r="I40" s="23">
        <v>200</v>
      </c>
    </row>
    <row r="41" spans="1:9" ht="12.75">
      <c r="A41" s="17">
        <v>71</v>
      </c>
      <c r="B41" s="17" t="s">
        <v>9</v>
      </c>
      <c r="C41" s="17">
        <v>20</v>
      </c>
      <c r="D41" s="17" t="s">
        <v>13</v>
      </c>
      <c r="E41" s="17" t="s">
        <v>17</v>
      </c>
      <c r="F41" s="17">
        <v>877</v>
      </c>
      <c r="G41" s="17">
        <v>50</v>
      </c>
      <c r="H41" s="17">
        <v>8</v>
      </c>
      <c r="I41" s="26">
        <v>200</v>
      </c>
    </row>
    <row r="42" spans="1:9" ht="12.75">
      <c r="A42" s="22">
        <v>60</v>
      </c>
      <c r="B42" s="22" t="s">
        <v>8</v>
      </c>
      <c r="C42" s="22">
        <v>31</v>
      </c>
      <c r="D42" s="22" t="s">
        <v>13</v>
      </c>
      <c r="E42" s="22" t="s">
        <v>19</v>
      </c>
      <c r="F42" s="22">
        <v>1079</v>
      </c>
      <c r="G42" s="22">
        <v>40</v>
      </c>
      <c r="H42" s="22">
        <v>5</v>
      </c>
      <c r="I42" s="23">
        <v>200</v>
      </c>
    </row>
    <row r="43" spans="1:9" ht="12.75">
      <c r="A43" s="22">
        <v>37</v>
      </c>
      <c r="B43" s="22" t="s">
        <v>8</v>
      </c>
      <c r="C43" s="22">
        <v>28</v>
      </c>
      <c r="D43" s="22" t="s">
        <v>13</v>
      </c>
      <c r="E43" s="22" t="s">
        <v>18</v>
      </c>
      <c r="F43" s="22">
        <v>1186</v>
      </c>
      <c r="G43" s="22">
        <v>42</v>
      </c>
      <c r="H43" s="22">
        <v>5</v>
      </c>
      <c r="I43" s="23">
        <v>200</v>
      </c>
    </row>
    <row r="44" spans="1:9" ht="12.75">
      <c r="A44" s="22">
        <v>40</v>
      </c>
      <c r="B44" s="22" t="s">
        <v>9</v>
      </c>
      <c r="C44" s="22">
        <v>33</v>
      </c>
      <c r="D44" s="22" t="s">
        <v>10</v>
      </c>
      <c r="E44" s="22" t="s">
        <v>16</v>
      </c>
      <c r="F44" s="22">
        <v>1227</v>
      </c>
      <c r="G44" s="22">
        <v>52</v>
      </c>
      <c r="H44" s="22">
        <v>4</v>
      </c>
      <c r="I44" s="23">
        <v>200</v>
      </c>
    </row>
    <row r="45" spans="1:9" ht="12.75">
      <c r="A45" s="22">
        <v>43</v>
      </c>
      <c r="B45" s="22" t="s">
        <v>9</v>
      </c>
      <c r="C45" s="22">
        <v>26</v>
      </c>
      <c r="D45" s="22" t="s">
        <v>13</v>
      </c>
      <c r="E45" s="22" t="s">
        <v>19</v>
      </c>
      <c r="F45" s="22">
        <v>1349</v>
      </c>
      <c r="G45" s="22">
        <v>46</v>
      </c>
      <c r="H45" s="22">
        <v>4</v>
      </c>
      <c r="I45" s="23">
        <v>200</v>
      </c>
    </row>
    <row r="46" spans="1:9" ht="12.75">
      <c r="A46" s="22">
        <v>81</v>
      </c>
      <c r="B46" s="22" t="s">
        <v>8</v>
      </c>
      <c r="C46" s="22">
        <v>18</v>
      </c>
      <c r="D46" s="22" t="s">
        <v>10</v>
      </c>
      <c r="E46" s="22" t="s">
        <v>16</v>
      </c>
      <c r="F46" s="22">
        <v>1462</v>
      </c>
      <c r="G46" s="22">
        <v>55</v>
      </c>
      <c r="H46" s="22">
        <v>4</v>
      </c>
      <c r="I46" s="23">
        <v>200</v>
      </c>
    </row>
    <row r="47" spans="1:9" ht="12.75">
      <c r="A47" s="22">
        <v>9</v>
      </c>
      <c r="B47" s="22" t="s">
        <v>8</v>
      </c>
      <c r="C47" s="22">
        <v>24</v>
      </c>
      <c r="D47" s="22" t="s">
        <v>10</v>
      </c>
      <c r="E47" s="22" t="s">
        <v>17</v>
      </c>
      <c r="F47" s="22">
        <v>1502</v>
      </c>
      <c r="G47" s="22">
        <v>40</v>
      </c>
      <c r="H47" s="22">
        <v>4</v>
      </c>
      <c r="I47" s="23">
        <v>200</v>
      </c>
    </row>
    <row r="48" spans="1:9" ht="12.75">
      <c r="A48" s="22">
        <v>64</v>
      </c>
      <c r="B48" s="22" t="s">
        <v>8</v>
      </c>
      <c r="C48" s="22">
        <v>29</v>
      </c>
      <c r="D48" s="22" t="s">
        <v>10</v>
      </c>
      <c r="E48" s="22" t="s">
        <v>16</v>
      </c>
      <c r="F48" s="22">
        <v>1570</v>
      </c>
      <c r="G48" s="22">
        <v>40</v>
      </c>
      <c r="H48" s="22">
        <v>3</v>
      </c>
      <c r="I48" s="23">
        <v>200</v>
      </c>
    </row>
    <row r="49" spans="1:9" ht="12.75">
      <c r="A49" s="22">
        <v>16</v>
      </c>
      <c r="B49" s="22" t="s">
        <v>8</v>
      </c>
      <c r="C49" s="22">
        <v>45</v>
      </c>
      <c r="D49" s="22" t="s">
        <v>13</v>
      </c>
      <c r="E49" s="22" t="s">
        <v>19</v>
      </c>
      <c r="F49" s="22">
        <v>1721</v>
      </c>
      <c r="G49" s="22">
        <v>55</v>
      </c>
      <c r="H49" s="22">
        <v>3</v>
      </c>
      <c r="I49" s="23">
        <v>200</v>
      </c>
    </row>
    <row r="50" spans="1:9" ht="12.75">
      <c r="A50" s="22">
        <v>90</v>
      </c>
      <c r="B50" s="22" t="s">
        <v>8</v>
      </c>
      <c r="C50" s="22">
        <v>41</v>
      </c>
      <c r="D50" s="22" t="s">
        <v>10</v>
      </c>
      <c r="E50" s="22" t="s">
        <v>16</v>
      </c>
      <c r="F50" s="22">
        <v>2466</v>
      </c>
      <c r="G50" s="22">
        <v>50</v>
      </c>
      <c r="H50" s="22">
        <v>3</v>
      </c>
      <c r="I50" s="23">
        <v>200</v>
      </c>
    </row>
    <row r="51" spans="1:9" ht="12.75">
      <c r="A51" s="17">
        <v>83</v>
      </c>
      <c r="B51" s="17" t="s">
        <v>8</v>
      </c>
      <c r="C51" s="17">
        <v>26</v>
      </c>
      <c r="D51" s="17" t="s">
        <v>11</v>
      </c>
      <c r="E51" s="17" t="s">
        <v>16</v>
      </c>
      <c r="F51" s="17">
        <v>2481</v>
      </c>
      <c r="G51" s="17">
        <v>50</v>
      </c>
      <c r="H51" s="17">
        <v>3</v>
      </c>
      <c r="I51" s="26">
        <v>200</v>
      </c>
    </row>
    <row r="52" spans="1:9" ht="12.75">
      <c r="A52" s="24">
        <v>54</v>
      </c>
      <c r="B52" s="24" t="s">
        <v>8</v>
      </c>
      <c r="C52" s="24">
        <v>15</v>
      </c>
      <c r="D52" s="24" t="s">
        <v>15</v>
      </c>
      <c r="E52" s="24" t="s">
        <v>20</v>
      </c>
      <c r="F52" s="24">
        <v>3221</v>
      </c>
      <c r="G52" s="24">
        <v>54</v>
      </c>
      <c r="H52" s="24">
        <v>2</v>
      </c>
      <c r="I52" s="23">
        <v>200</v>
      </c>
    </row>
    <row r="53" spans="1:9" ht="12.75">
      <c r="A53" s="22">
        <v>67</v>
      </c>
      <c r="B53" s="22" t="s">
        <v>8</v>
      </c>
      <c r="C53" s="22">
        <v>23</v>
      </c>
      <c r="D53" s="22" t="s">
        <v>11</v>
      </c>
      <c r="E53" s="22" t="s">
        <v>19</v>
      </c>
      <c r="F53" s="22">
        <v>3299</v>
      </c>
      <c r="G53" s="22">
        <v>45</v>
      </c>
      <c r="H53" s="22">
        <v>2</v>
      </c>
      <c r="I53" s="23">
        <v>200</v>
      </c>
    </row>
    <row r="54" spans="1:9" ht="12.75">
      <c r="A54" s="22">
        <v>100</v>
      </c>
      <c r="B54" s="22" t="s">
        <v>8</v>
      </c>
      <c r="C54" s="22">
        <v>40</v>
      </c>
      <c r="D54" s="22" t="s">
        <v>11</v>
      </c>
      <c r="E54" s="22" t="s">
        <v>19</v>
      </c>
      <c r="F54" s="22">
        <v>3551</v>
      </c>
      <c r="G54" s="22">
        <v>48</v>
      </c>
      <c r="H54" s="22">
        <v>2</v>
      </c>
      <c r="I54" s="23">
        <v>200</v>
      </c>
    </row>
    <row r="55" spans="1:9" ht="12.75">
      <c r="A55" s="22">
        <v>62</v>
      </c>
      <c r="B55" s="22" t="s">
        <v>9</v>
      </c>
      <c r="C55" s="22">
        <v>18</v>
      </c>
      <c r="D55" s="22" t="s">
        <v>11</v>
      </c>
      <c r="E55" s="22" t="s">
        <v>19</v>
      </c>
      <c r="F55" s="22">
        <v>4174</v>
      </c>
      <c r="G55" s="22">
        <v>47</v>
      </c>
      <c r="H55" s="22">
        <v>2</v>
      </c>
      <c r="I55" s="23">
        <v>200</v>
      </c>
    </row>
    <row r="56" spans="1:9" ht="12.75">
      <c r="A56" s="22">
        <v>84</v>
      </c>
      <c r="B56" s="22" t="s">
        <v>9</v>
      </c>
      <c r="C56" s="22">
        <v>42</v>
      </c>
      <c r="D56" s="22" t="s">
        <v>11</v>
      </c>
      <c r="E56" s="22" t="s">
        <v>19</v>
      </c>
      <c r="F56" s="22">
        <v>5756</v>
      </c>
      <c r="G56" s="22">
        <v>49</v>
      </c>
      <c r="H56" s="22">
        <v>1</v>
      </c>
      <c r="I56" s="23">
        <v>200</v>
      </c>
    </row>
    <row r="57" spans="1:9" ht="12.75">
      <c r="A57" s="22">
        <v>72</v>
      </c>
      <c r="B57" s="22" t="s">
        <v>9</v>
      </c>
      <c r="C57" s="22">
        <v>20</v>
      </c>
      <c r="D57" s="22" t="s">
        <v>11</v>
      </c>
      <c r="E57" s="22" t="s">
        <v>16</v>
      </c>
      <c r="F57" s="22">
        <v>5867</v>
      </c>
      <c r="G57" s="22">
        <v>48</v>
      </c>
      <c r="H57" s="22">
        <v>2</v>
      </c>
      <c r="I57" s="23">
        <v>200</v>
      </c>
    </row>
    <row r="58" spans="1:9" ht="12.75">
      <c r="A58" s="22">
        <v>27</v>
      </c>
      <c r="B58" s="22" t="s">
        <v>9</v>
      </c>
      <c r="C58" s="22">
        <v>28</v>
      </c>
      <c r="D58" s="22" t="s">
        <v>13</v>
      </c>
      <c r="E58" s="22" t="s">
        <v>19</v>
      </c>
      <c r="F58" s="22">
        <v>443</v>
      </c>
      <c r="G58" s="22">
        <v>54</v>
      </c>
      <c r="H58" s="22">
        <v>14</v>
      </c>
      <c r="I58" s="23">
        <v>400</v>
      </c>
    </row>
    <row r="59" spans="1:9" ht="12.75">
      <c r="A59" s="22">
        <v>68</v>
      </c>
      <c r="B59" s="22" t="s">
        <v>8</v>
      </c>
      <c r="C59" s="22">
        <v>28</v>
      </c>
      <c r="D59" s="22" t="s">
        <v>13</v>
      </c>
      <c r="E59" s="22" t="s">
        <v>19</v>
      </c>
      <c r="F59" s="22">
        <v>568</v>
      </c>
      <c r="G59" s="22">
        <v>50</v>
      </c>
      <c r="H59" s="22">
        <v>10</v>
      </c>
      <c r="I59" s="23">
        <v>400</v>
      </c>
    </row>
    <row r="60" spans="1:9" ht="12.75">
      <c r="A60" s="24">
        <v>46</v>
      </c>
      <c r="B60" s="24" t="s">
        <v>9</v>
      </c>
      <c r="C60" s="24">
        <v>36</v>
      </c>
      <c r="D60" s="24" t="s">
        <v>13</v>
      </c>
      <c r="E60" s="24" t="s">
        <v>16</v>
      </c>
      <c r="F60" s="24">
        <v>576</v>
      </c>
      <c r="G60" s="24">
        <v>52</v>
      </c>
      <c r="H60" s="24">
        <v>8</v>
      </c>
      <c r="I60" s="23">
        <v>400</v>
      </c>
    </row>
    <row r="61" spans="1:9" ht="12.75">
      <c r="A61" s="17">
        <v>35</v>
      </c>
      <c r="B61" s="17" t="s">
        <v>9</v>
      </c>
      <c r="C61" s="17">
        <v>30</v>
      </c>
      <c r="D61" s="17" t="s">
        <v>10</v>
      </c>
      <c r="E61" s="17" t="s">
        <v>17</v>
      </c>
      <c r="F61" s="17">
        <v>608</v>
      </c>
      <c r="G61" s="17">
        <v>45</v>
      </c>
      <c r="H61" s="17">
        <v>10</v>
      </c>
      <c r="I61" s="26">
        <v>400</v>
      </c>
    </row>
    <row r="62" spans="1:9" ht="12.75">
      <c r="A62" s="22">
        <v>106</v>
      </c>
      <c r="B62" s="22" t="s">
        <v>8</v>
      </c>
      <c r="C62" s="22">
        <v>34</v>
      </c>
      <c r="D62" s="22" t="s">
        <v>10</v>
      </c>
      <c r="E62" s="22" t="s">
        <v>17</v>
      </c>
      <c r="F62" s="22">
        <v>637</v>
      </c>
      <c r="G62" s="22">
        <v>44</v>
      </c>
      <c r="H62" s="22">
        <v>10</v>
      </c>
      <c r="I62" s="23">
        <v>400</v>
      </c>
    </row>
    <row r="63" spans="1:9" ht="12.75">
      <c r="A63" s="22">
        <v>29</v>
      </c>
      <c r="B63" s="22" t="s">
        <v>9</v>
      </c>
      <c r="C63" s="22">
        <v>17</v>
      </c>
      <c r="D63" s="22" t="s">
        <v>13</v>
      </c>
      <c r="E63" s="22" t="s">
        <v>17</v>
      </c>
      <c r="F63" s="22">
        <v>716</v>
      </c>
      <c r="G63" s="22">
        <v>52</v>
      </c>
      <c r="H63" s="22">
        <v>7</v>
      </c>
      <c r="I63" s="23">
        <v>400</v>
      </c>
    </row>
    <row r="64" spans="1:9" ht="12.75">
      <c r="A64" s="22">
        <v>73</v>
      </c>
      <c r="B64" s="22" t="s">
        <v>8</v>
      </c>
      <c r="C64" s="22">
        <v>34</v>
      </c>
      <c r="D64" s="22" t="s">
        <v>10</v>
      </c>
      <c r="E64" s="22" t="s">
        <v>16</v>
      </c>
      <c r="F64" s="22">
        <v>895</v>
      </c>
      <c r="G64" s="22">
        <v>44</v>
      </c>
      <c r="H64" s="22">
        <v>7</v>
      </c>
      <c r="I64" s="23">
        <v>400</v>
      </c>
    </row>
    <row r="65" spans="1:9" ht="12.75">
      <c r="A65" s="22">
        <v>88</v>
      </c>
      <c r="B65" s="22" t="s">
        <v>9</v>
      </c>
      <c r="C65" s="22">
        <v>38</v>
      </c>
      <c r="D65" s="22" t="s">
        <v>10</v>
      </c>
      <c r="E65" s="22" t="s">
        <v>17</v>
      </c>
      <c r="F65" s="22">
        <v>914</v>
      </c>
      <c r="G65" s="22">
        <v>45</v>
      </c>
      <c r="H65" s="22">
        <v>6</v>
      </c>
      <c r="I65" s="23">
        <v>400</v>
      </c>
    </row>
    <row r="66" spans="1:9" ht="12.75">
      <c r="A66" s="22">
        <v>24</v>
      </c>
      <c r="B66" s="22" t="s">
        <v>8</v>
      </c>
      <c r="C66" s="22">
        <v>32</v>
      </c>
      <c r="D66" s="22" t="s">
        <v>10</v>
      </c>
      <c r="E66" s="22" t="s">
        <v>17</v>
      </c>
      <c r="F66" s="22">
        <v>949</v>
      </c>
      <c r="G66" s="22">
        <v>53</v>
      </c>
      <c r="H66" s="22">
        <v>5</v>
      </c>
      <c r="I66" s="23">
        <v>400</v>
      </c>
    </row>
    <row r="67" spans="1:9" ht="12.75">
      <c r="A67" s="22">
        <v>23</v>
      </c>
      <c r="B67" s="22" t="s">
        <v>9</v>
      </c>
      <c r="C67" s="22">
        <v>15</v>
      </c>
      <c r="D67" s="22" t="s">
        <v>15</v>
      </c>
      <c r="E67" s="22" t="s">
        <v>20</v>
      </c>
      <c r="F67" s="22">
        <v>1245</v>
      </c>
      <c r="G67" s="22">
        <v>48</v>
      </c>
      <c r="H67" s="22">
        <v>5</v>
      </c>
      <c r="I67" s="23">
        <v>400</v>
      </c>
    </row>
    <row r="68" spans="1:9" ht="12.75">
      <c r="A68" s="22">
        <v>50</v>
      </c>
      <c r="B68" s="22" t="s">
        <v>8</v>
      </c>
      <c r="C68" s="22">
        <v>61</v>
      </c>
      <c r="D68" s="22" t="s">
        <v>10</v>
      </c>
      <c r="E68" s="22" t="s">
        <v>17</v>
      </c>
      <c r="F68" s="22">
        <v>1422</v>
      </c>
      <c r="G68" s="22">
        <v>40</v>
      </c>
      <c r="H68" s="22">
        <v>5</v>
      </c>
      <c r="I68" s="23">
        <v>400</v>
      </c>
    </row>
    <row r="69" spans="1:9" ht="12.75">
      <c r="A69" s="22">
        <v>39</v>
      </c>
      <c r="B69" s="22" t="s">
        <v>8</v>
      </c>
      <c r="C69" s="22">
        <v>35</v>
      </c>
      <c r="D69" s="22" t="s">
        <v>10</v>
      </c>
      <c r="E69" s="22" t="s">
        <v>16</v>
      </c>
      <c r="F69" s="22">
        <v>1443</v>
      </c>
      <c r="G69" s="22">
        <v>46</v>
      </c>
      <c r="H69" s="22">
        <v>5</v>
      </c>
      <c r="I69" s="23">
        <v>400</v>
      </c>
    </row>
    <row r="70" spans="1:9" ht="12.75">
      <c r="A70" s="22">
        <v>49</v>
      </c>
      <c r="B70" s="22" t="s">
        <v>8</v>
      </c>
      <c r="C70" s="22">
        <v>31</v>
      </c>
      <c r="D70" s="22" t="s">
        <v>10</v>
      </c>
      <c r="E70" s="22" t="s">
        <v>16</v>
      </c>
      <c r="F70" s="22">
        <v>1682</v>
      </c>
      <c r="G70" s="22">
        <v>43</v>
      </c>
      <c r="H70" s="22">
        <v>5</v>
      </c>
      <c r="I70" s="23">
        <v>400</v>
      </c>
    </row>
    <row r="71" spans="1:9" ht="12.75">
      <c r="A71" s="17">
        <v>102</v>
      </c>
      <c r="B71" s="17" t="s">
        <v>9</v>
      </c>
      <c r="C71" s="17">
        <v>23</v>
      </c>
      <c r="D71" s="17" t="s">
        <v>10</v>
      </c>
      <c r="E71" s="17" t="s">
        <v>16</v>
      </c>
      <c r="F71" s="17">
        <v>1739</v>
      </c>
      <c r="G71" s="17">
        <v>45</v>
      </c>
      <c r="H71" s="17">
        <v>4</v>
      </c>
      <c r="I71" s="26">
        <v>400</v>
      </c>
    </row>
    <row r="72" spans="1:9" ht="12.75">
      <c r="A72" s="22">
        <v>109</v>
      </c>
      <c r="B72" s="22" t="s">
        <v>8</v>
      </c>
      <c r="C72" s="22">
        <v>21</v>
      </c>
      <c r="D72" s="22" t="s">
        <v>13</v>
      </c>
      <c r="E72" s="22" t="s">
        <v>16</v>
      </c>
      <c r="F72" s="22">
        <v>1754</v>
      </c>
      <c r="G72" s="22">
        <v>42</v>
      </c>
      <c r="H72" s="22">
        <v>4</v>
      </c>
      <c r="I72" s="23">
        <v>400</v>
      </c>
    </row>
    <row r="73" spans="1:9" ht="12.75">
      <c r="A73" s="22">
        <v>8</v>
      </c>
      <c r="B73" s="22" t="s">
        <v>8</v>
      </c>
      <c r="C73" s="22">
        <v>34</v>
      </c>
      <c r="D73" s="22" t="s">
        <v>10</v>
      </c>
      <c r="E73" s="22" t="s">
        <v>16</v>
      </c>
      <c r="F73" s="22">
        <v>1779</v>
      </c>
      <c r="G73" s="22">
        <v>44</v>
      </c>
      <c r="H73" s="22">
        <v>3</v>
      </c>
      <c r="I73" s="23">
        <v>400</v>
      </c>
    </row>
    <row r="74" spans="1:9" ht="12.75">
      <c r="A74" s="22">
        <v>103</v>
      </c>
      <c r="B74" s="22" t="s">
        <v>9</v>
      </c>
      <c r="C74" s="22">
        <v>34</v>
      </c>
      <c r="D74" s="22" t="s">
        <v>10</v>
      </c>
      <c r="E74" s="22" t="s">
        <v>17</v>
      </c>
      <c r="F74" s="22">
        <v>1782</v>
      </c>
      <c r="G74" s="22">
        <v>55</v>
      </c>
      <c r="H74" s="22">
        <v>4</v>
      </c>
      <c r="I74" s="23">
        <v>400</v>
      </c>
    </row>
    <row r="75" spans="1:9" ht="12.75">
      <c r="A75" s="22">
        <v>75</v>
      </c>
      <c r="B75" s="22" t="s">
        <v>8</v>
      </c>
      <c r="C75" s="22">
        <v>36</v>
      </c>
      <c r="D75" s="22" t="s">
        <v>10</v>
      </c>
      <c r="E75" s="22" t="s">
        <v>17</v>
      </c>
      <c r="F75" s="22">
        <v>1858</v>
      </c>
      <c r="G75" s="22">
        <v>52</v>
      </c>
      <c r="H75" s="22">
        <v>3</v>
      </c>
      <c r="I75" s="23">
        <v>400</v>
      </c>
    </row>
    <row r="76" spans="1:9" ht="12.75">
      <c r="A76" s="22">
        <v>12</v>
      </c>
      <c r="B76" s="22" t="s">
        <v>8</v>
      </c>
      <c r="C76" s="22">
        <v>27</v>
      </c>
      <c r="D76" s="22" t="s">
        <v>10</v>
      </c>
      <c r="E76" s="22" t="s">
        <v>16</v>
      </c>
      <c r="F76" s="22">
        <v>2043</v>
      </c>
      <c r="G76" s="22">
        <v>45</v>
      </c>
      <c r="H76" s="22">
        <v>4</v>
      </c>
      <c r="I76" s="23">
        <v>400</v>
      </c>
    </row>
    <row r="77" spans="1:9" ht="12.75">
      <c r="A77" s="22">
        <v>69</v>
      </c>
      <c r="B77" s="22" t="s">
        <v>8</v>
      </c>
      <c r="C77" s="22">
        <v>23</v>
      </c>
      <c r="D77" s="22" t="s">
        <v>10</v>
      </c>
      <c r="E77" s="22" t="s">
        <v>17</v>
      </c>
      <c r="F77" s="22">
        <v>2155</v>
      </c>
      <c r="G77" s="22">
        <v>47</v>
      </c>
      <c r="H77" s="22">
        <v>2</v>
      </c>
      <c r="I77" s="23">
        <v>400</v>
      </c>
    </row>
    <row r="78" spans="1:9" ht="12.75">
      <c r="A78" s="22">
        <v>13</v>
      </c>
      <c r="B78" s="22" t="s">
        <v>9</v>
      </c>
      <c r="C78" s="22">
        <v>23</v>
      </c>
      <c r="D78" s="22" t="s">
        <v>11</v>
      </c>
      <c r="E78" s="22" t="s">
        <v>19</v>
      </c>
      <c r="F78" s="22">
        <v>2376</v>
      </c>
      <c r="G78" s="22">
        <v>45</v>
      </c>
      <c r="H78" s="22">
        <v>2</v>
      </c>
      <c r="I78" s="23">
        <v>400</v>
      </c>
    </row>
    <row r="79" spans="1:9" ht="12.75">
      <c r="A79" s="24">
        <v>3</v>
      </c>
      <c r="B79" s="24" t="s">
        <v>9</v>
      </c>
      <c r="C79" s="24">
        <v>31</v>
      </c>
      <c r="D79" s="24" t="s">
        <v>11</v>
      </c>
      <c r="E79" s="24" t="s">
        <v>16</v>
      </c>
      <c r="F79" s="24">
        <v>5034</v>
      </c>
      <c r="G79" s="24">
        <v>49</v>
      </c>
      <c r="H79" s="24">
        <v>1</v>
      </c>
      <c r="I79" s="23">
        <v>400</v>
      </c>
    </row>
    <row r="80" spans="1:9" ht="12.75">
      <c r="A80" s="22">
        <v>51</v>
      </c>
      <c r="B80" s="22" t="s">
        <v>9</v>
      </c>
      <c r="C80" s="22">
        <v>48</v>
      </c>
      <c r="D80" s="22" t="s">
        <v>10</v>
      </c>
      <c r="E80" s="22" t="s">
        <v>17</v>
      </c>
      <c r="F80" s="22">
        <v>1005</v>
      </c>
      <c r="G80" s="22">
        <v>43</v>
      </c>
      <c r="H80" s="22">
        <v>7</v>
      </c>
      <c r="I80" s="23">
        <v>800</v>
      </c>
    </row>
    <row r="81" spans="1:9" ht="12.75">
      <c r="A81" s="17">
        <v>85</v>
      </c>
      <c r="B81" s="17" t="s">
        <v>9</v>
      </c>
      <c r="C81" s="17">
        <v>36</v>
      </c>
      <c r="D81" s="17" t="s">
        <v>10</v>
      </c>
      <c r="E81" s="17" t="s">
        <v>16</v>
      </c>
      <c r="F81" s="17">
        <v>1246</v>
      </c>
      <c r="G81" s="17">
        <v>43</v>
      </c>
      <c r="H81" s="17">
        <v>5</v>
      </c>
      <c r="I81" s="26">
        <v>800</v>
      </c>
    </row>
    <row r="82" spans="1:9" ht="12.75">
      <c r="A82" s="22">
        <v>92</v>
      </c>
      <c r="B82" s="22" t="s">
        <v>9</v>
      </c>
      <c r="C82" s="22">
        <v>53</v>
      </c>
      <c r="D82" s="22" t="s">
        <v>13</v>
      </c>
      <c r="E82" s="22" t="s">
        <v>16</v>
      </c>
      <c r="F82" s="22">
        <v>1273</v>
      </c>
      <c r="G82" s="22">
        <v>40</v>
      </c>
      <c r="H82" s="22">
        <v>4</v>
      </c>
      <c r="I82" s="23">
        <v>800</v>
      </c>
    </row>
    <row r="83" spans="1:9" ht="12.75">
      <c r="A83" s="22">
        <v>48</v>
      </c>
      <c r="B83" s="22" t="s">
        <v>8</v>
      </c>
      <c r="C83" s="22">
        <v>21</v>
      </c>
      <c r="D83" s="22" t="s">
        <v>13</v>
      </c>
      <c r="E83" s="22" t="s">
        <v>17</v>
      </c>
      <c r="F83" s="22">
        <v>1392</v>
      </c>
      <c r="G83" s="22">
        <v>50</v>
      </c>
      <c r="H83" s="22">
        <v>4</v>
      </c>
      <c r="I83" s="23">
        <v>800</v>
      </c>
    </row>
    <row r="84" spans="1:9" ht="12.75">
      <c r="A84" s="22">
        <v>93</v>
      </c>
      <c r="B84" s="22" t="s">
        <v>8</v>
      </c>
      <c r="C84" s="22">
        <v>20</v>
      </c>
      <c r="D84" s="22" t="s">
        <v>13</v>
      </c>
      <c r="E84" s="22" t="s">
        <v>16</v>
      </c>
      <c r="F84" s="22">
        <v>1418</v>
      </c>
      <c r="G84" s="22">
        <v>41</v>
      </c>
      <c r="H84" s="22">
        <v>4</v>
      </c>
      <c r="I84" s="23">
        <v>800</v>
      </c>
    </row>
    <row r="85" spans="1:9" ht="12.75">
      <c r="A85" s="22">
        <v>10</v>
      </c>
      <c r="B85" s="22" t="s">
        <v>9</v>
      </c>
      <c r="C85" s="22">
        <v>22</v>
      </c>
      <c r="D85" s="22" t="s">
        <v>13</v>
      </c>
      <c r="E85" s="22" t="s">
        <v>18</v>
      </c>
      <c r="F85" s="22">
        <v>1441</v>
      </c>
      <c r="G85" s="22">
        <v>47</v>
      </c>
      <c r="H85" s="22">
        <v>5</v>
      </c>
      <c r="I85" s="23">
        <v>800</v>
      </c>
    </row>
    <row r="86" spans="1:9" ht="12.75">
      <c r="A86" s="22">
        <v>53</v>
      </c>
      <c r="B86" s="22" t="s">
        <v>8</v>
      </c>
      <c r="C86" s="22">
        <v>27</v>
      </c>
      <c r="D86" s="22" t="s">
        <v>13</v>
      </c>
      <c r="E86" s="22" t="s">
        <v>17</v>
      </c>
      <c r="F86" s="22">
        <v>1505</v>
      </c>
      <c r="G86" s="22">
        <v>45</v>
      </c>
      <c r="H86" s="22">
        <v>5</v>
      </c>
      <c r="I86" s="23">
        <v>800</v>
      </c>
    </row>
    <row r="87" spans="1:9" ht="12.75">
      <c r="A87" s="22">
        <v>58</v>
      </c>
      <c r="B87" s="22" t="s">
        <v>8</v>
      </c>
      <c r="C87" s="22">
        <v>30</v>
      </c>
      <c r="D87" s="22" t="s">
        <v>13</v>
      </c>
      <c r="E87" s="22" t="s">
        <v>18</v>
      </c>
      <c r="F87" s="22">
        <v>1581</v>
      </c>
      <c r="G87" s="22">
        <v>40</v>
      </c>
      <c r="H87" s="22">
        <v>4</v>
      </c>
      <c r="I87" s="23">
        <v>800</v>
      </c>
    </row>
    <row r="88" spans="1:9" ht="12.75">
      <c r="A88" s="22">
        <v>19</v>
      </c>
      <c r="B88" s="22" t="s">
        <v>8</v>
      </c>
      <c r="C88" s="22">
        <v>35</v>
      </c>
      <c r="D88" s="22" t="s">
        <v>10</v>
      </c>
      <c r="E88" s="22" t="s">
        <v>17</v>
      </c>
      <c r="F88" s="22">
        <v>1603</v>
      </c>
      <c r="G88" s="22">
        <v>45</v>
      </c>
      <c r="H88" s="22">
        <v>3</v>
      </c>
      <c r="I88" s="23">
        <v>800</v>
      </c>
    </row>
    <row r="89" spans="1:9" ht="12.75">
      <c r="A89" s="22">
        <v>6</v>
      </c>
      <c r="B89" s="22" t="s">
        <v>8</v>
      </c>
      <c r="C89" s="22">
        <v>24</v>
      </c>
      <c r="D89" s="22" t="s">
        <v>10</v>
      </c>
      <c r="E89" s="22" t="s">
        <v>16</v>
      </c>
      <c r="F89" s="22">
        <v>1659</v>
      </c>
      <c r="G89" s="22">
        <v>46</v>
      </c>
      <c r="H89" s="22">
        <v>4</v>
      </c>
      <c r="I89" s="23">
        <v>800</v>
      </c>
    </row>
    <row r="90" spans="1:9" ht="12.75">
      <c r="A90" s="22">
        <v>15</v>
      </c>
      <c r="B90" s="22" t="s">
        <v>8</v>
      </c>
      <c r="C90" s="22">
        <v>36</v>
      </c>
      <c r="D90" s="22" t="s">
        <v>13</v>
      </c>
      <c r="E90" s="22" t="s">
        <v>17</v>
      </c>
      <c r="F90" s="22">
        <v>1782</v>
      </c>
      <c r="G90" s="22">
        <v>42</v>
      </c>
      <c r="H90" s="22">
        <v>4</v>
      </c>
      <c r="I90" s="23">
        <v>800</v>
      </c>
    </row>
    <row r="91" spans="1:9" ht="12.75">
      <c r="A91" s="17">
        <v>98</v>
      </c>
      <c r="B91" s="17" t="s">
        <v>8</v>
      </c>
      <c r="C91" s="17">
        <v>19</v>
      </c>
      <c r="D91" s="17" t="s">
        <v>10</v>
      </c>
      <c r="E91" s="17" t="s">
        <v>16</v>
      </c>
      <c r="F91" s="17">
        <v>1810</v>
      </c>
      <c r="G91" s="17">
        <v>43</v>
      </c>
      <c r="H91" s="17">
        <v>3</v>
      </c>
      <c r="I91" s="26">
        <v>800</v>
      </c>
    </row>
    <row r="92" spans="1:9" ht="12.75">
      <c r="A92" s="22">
        <v>77</v>
      </c>
      <c r="B92" s="22" t="s">
        <v>8</v>
      </c>
      <c r="C92" s="22">
        <v>65</v>
      </c>
      <c r="D92" s="22" t="s">
        <v>10</v>
      </c>
      <c r="E92" s="22" t="s">
        <v>16</v>
      </c>
      <c r="F92" s="22">
        <v>1975</v>
      </c>
      <c r="G92" s="22">
        <v>44</v>
      </c>
      <c r="H92" s="22">
        <v>3</v>
      </c>
      <c r="I92" s="23">
        <v>800</v>
      </c>
    </row>
    <row r="93" spans="1:9" ht="12.75">
      <c r="A93" s="22">
        <v>33</v>
      </c>
      <c r="B93" s="22" t="s">
        <v>8</v>
      </c>
      <c r="C93" s="22">
        <v>46</v>
      </c>
      <c r="D93" s="22" t="s">
        <v>11</v>
      </c>
      <c r="E93" s="22" t="s">
        <v>18</v>
      </c>
      <c r="F93" s="22">
        <v>2043</v>
      </c>
      <c r="G93" s="22">
        <v>47</v>
      </c>
      <c r="H93" s="22">
        <v>3</v>
      </c>
      <c r="I93" s="23">
        <v>800</v>
      </c>
    </row>
    <row r="94" spans="1:9" ht="12.75">
      <c r="A94" s="22">
        <v>104</v>
      </c>
      <c r="B94" s="22" t="s">
        <v>9</v>
      </c>
      <c r="C94" s="22">
        <v>26</v>
      </c>
      <c r="D94" s="22" t="s">
        <v>10</v>
      </c>
      <c r="E94" s="22" t="s">
        <v>17</v>
      </c>
      <c r="F94" s="22">
        <v>2386</v>
      </c>
      <c r="G94" s="22">
        <v>49</v>
      </c>
      <c r="H94" s="22">
        <v>3</v>
      </c>
      <c r="I94" s="23">
        <v>800</v>
      </c>
    </row>
    <row r="95" spans="1:9" ht="12.75">
      <c r="A95" s="22">
        <v>78</v>
      </c>
      <c r="B95" s="22" t="s">
        <v>9</v>
      </c>
      <c r="C95" s="22">
        <v>21</v>
      </c>
      <c r="D95" s="22" t="s">
        <v>11</v>
      </c>
      <c r="E95" s="22" t="s">
        <v>18</v>
      </c>
      <c r="F95" s="22">
        <v>3071</v>
      </c>
      <c r="G95" s="22">
        <v>50</v>
      </c>
      <c r="H95" s="22">
        <v>2</v>
      </c>
      <c r="I95" s="23">
        <v>800</v>
      </c>
    </row>
    <row r="96" spans="1:9" ht="12.75">
      <c r="A96" s="22">
        <v>61</v>
      </c>
      <c r="B96" s="22" t="s">
        <v>9</v>
      </c>
      <c r="C96" s="22">
        <v>22</v>
      </c>
      <c r="D96" s="22" t="s">
        <v>11</v>
      </c>
      <c r="E96" s="22" t="s">
        <v>18</v>
      </c>
      <c r="F96" s="22">
        <v>3708</v>
      </c>
      <c r="G96" s="22">
        <v>50</v>
      </c>
      <c r="H96" s="22">
        <v>2</v>
      </c>
      <c r="I96" s="23">
        <v>800</v>
      </c>
    </row>
    <row r="97" spans="1:9" ht="12.75">
      <c r="A97" s="22">
        <v>89</v>
      </c>
      <c r="B97" s="22" t="s">
        <v>8</v>
      </c>
      <c r="C97" s="22">
        <v>31</v>
      </c>
      <c r="D97" s="22" t="s">
        <v>11</v>
      </c>
      <c r="E97" s="22" t="s">
        <v>19</v>
      </c>
      <c r="F97" s="22">
        <v>3946</v>
      </c>
      <c r="G97" s="22">
        <v>48</v>
      </c>
      <c r="H97" s="22">
        <v>2</v>
      </c>
      <c r="I97" s="23">
        <v>800</v>
      </c>
    </row>
    <row r="98" spans="1:9" ht="12.75">
      <c r="A98" s="22">
        <v>22</v>
      </c>
      <c r="B98" s="22" t="s">
        <v>9</v>
      </c>
      <c r="C98" s="22">
        <v>29</v>
      </c>
      <c r="D98" s="22" t="s">
        <v>11</v>
      </c>
      <c r="E98" s="22" t="s">
        <v>17</v>
      </c>
      <c r="F98" s="22">
        <v>4733</v>
      </c>
      <c r="G98" s="22">
        <v>51</v>
      </c>
      <c r="H98" s="22">
        <v>2</v>
      </c>
      <c r="I98" s="23">
        <v>800</v>
      </c>
    </row>
    <row r="99" spans="1:9" ht="12.75">
      <c r="A99" s="22">
        <v>47</v>
      </c>
      <c r="B99" s="22" t="s">
        <v>9</v>
      </c>
      <c r="C99" s="22">
        <v>25</v>
      </c>
      <c r="D99" s="22" t="s">
        <v>11</v>
      </c>
      <c r="E99" s="22" t="s">
        <v>17</v>
      </c>
      <c r="F99" s="22">
        <v>4942</v>
      </c>
      <c r="G99" s="22">
        <v>54</v>
      </c>
      <c r="H99" s="22">
        <v>1</v>
      </c>
      <c r="I99" s="23">
        <v>800</v>
      </c>
    </row>
    <row r="100" spans="1:9" ht="12.75">
      <c r="A100" s="22">
        <v>25</v>
      </c>
      <c r="B100" s="22" t="s">
        <v>8</v>
      </c>
      <c r="C100" s="22">
        <v>67</v>
      </c>
      <c r="D100" s="22" t="s">
        <v>11</v>
      </c>
      <c r="E100" s="22" t="s">
        <v>17</v>
      </c>
      <c r="F100" s="22">
        <v>5670</v>
      </c>
      <c r="G100" s="22">
        <v>49</v>
      </c>
      <c r="H100" s="22">
        <v>2</v>
      </c>
      <c r="I100" s="23">
        <v>800</v>
      </c>
    </row>
    <row r="101" spans="1:9" ht="12.75">
      <c r="A101" s="17">
        <v>34</v>
      </c>
      <c r="B101" s="17" t="s">
        <v>9</v>
      </c>
      <c r="C101" s="17">
        <v>22</v>
      </c>
      <c r="D101" s="17" t="s">
        <v>13</v>
      </c>
      <c r="E101" s="17" t="s">
        <v>16</v>
      </c>
      <c r="F101" s="17">
        <v>1060</v>
      </c>
      <c r="G101" s="17">
        <v>47</v>
      </c>
      <c r="H101" s="17">
        <v>7</v>
      </c>
      <c r="I101" s="26">
        <v>900</v>
      </c>
    </row>
    <row r="102" spans="1:9" ht="12.75">
      <c r="A102" s="22">
        <v>17</v>
      </c>
      <c r="B102" s="22" t="s">
        <v>9</v>
      </c>
      <c r="C102" s="22">
        <v>22</v>
      </c>
      <c r="D102" s="22" t="s">
        <v>13</v>
      </c>
      <c r="E102" s="22" t="s">
        <v>19</v>
      </c>
      <c r="F102" s="22">
        <v>1089</v>
      </c>
      <c r="G102" s="22">
        <v>40</v>
      </c>
      <c r="H102" s="22">
        <v>6</v>
      </c>
      <c r="I102" s="23">
        <v>900</v>
      </c>
    </row>
    <row r="103" spans="1:9" ht="12.75">
      <c r="A103" s="22">
        <v>97</v>
      </c>
      <c r="B103" s="22" t="s">
        <v>9</v>
      </c>
      <c r="C103" s="22">
        <v>40</v>
      </c>
      <c r="D103" s="22" t="s">
        <v>13</v>
      </c>
      <c r="E103" s="22" t="s">
        <v>18</v>
      </c>
      <c r="F103" s="22">
        <v>1401</v>
      </c>
      <c r="G103" s="22">
        <v>52</v>
      </c>
      <c r="H103" s="22">
        <v>4</v>
      </c>
      <c r="I103" s="23">
        <v>900</v>
      </c>
    </row>
    <row r="104" spans="1:9" ht="12.75">
      <c r="A104" s="22">
        <v>14</v>
      </c>
      <c r="B104" s="22" t="s">
        <v>9</v>
      </c>
      <c r="C104" s="22">
        <v>32</v>
      </c>
      <c r="D104" s="22" t="s">
        <v>13</v>
      </c>
      <c r="E104" s="22" t="s">
        <v>17</v>
      </c>
      <c r="F104" s="22">
        <v>1589</v>
      </c>
      <c r="G104" s="22">
        <v>55</v>
      </c>
      <c r="H104" s="22">
        <v>3</v>
      </c>
      <c r="I104" s="23">
        <v>900</v>
      </c>
    </row>
    <row r="105" spans="1:9" ht="12.75">
      <c r="A105" s="22">
        <v>31</v>
      </c>
      <c r="B105" s="22" t="s">
        <v>9</v>
      </c>
      <c r="C105" s="22">
        <v>17</v>
      </c>
      <c r="D105" s="22" t="s">
        <v>13</v>
      </c>
      <c r="E105" s="22" t="s">
        <v>16</v>
      </c>
      <c r="F105" s="22">
        <v>1722</v>
      </c>
      <c r="G105" s="22">
        <v>48</v>
      </c>
      <c r="H105" s="22">
        <v>4</v>
      </c>
      <c r="I105" s="23">
        <v>900</v>
      </c>
    </row>
    <row r="106" spans="1:9" ht="12.75">
      <c r="A106" s="22">
        <v>4</v>
      </c>
      <c r="B106" s="22" t="s">
        <v>9</v>
      </c>
      <c r="C106" s="22">
        <v>25</v>
      </c>
      <c r="D106" s="22" t="s">
        <v>11</v>
      </c>
      <c r="E106" s="22" t="s">
        <v>17</v>
      </c>
      <c r="F106" s="22">
        <v>2025</v>
      </c>
      <c r="G106" s="22">
        <v>55</v>
      </c>
      <c r="H106" s="22">
        <v>3</v>
      </c>
      <c r="I106" s="23">
        <v>900</v>
      </c>
    </row>
    <row r="107" spans="1:9" ht="12.75">
      <c r="A107" s="22">
        <v>108</v>
      </c>
      <c r="B107" s="22" t="s">
        <v>9</v>
      </c>
      <c r="C107" s="22">
        <v>38</v>
      </c>
      <c r="D107" s="22" t="s">
        <v>11</v>
      </c>
      <c r="E107" s="22" t="s">
        <v>17</v>
      </c>
      <c r="F107" s="22">
        <v>2205</v>
      </c>
      <c r="G107" s="22">
        <v>55</v>
      </c>
      <c r="H107" s="22">
        <v>2</v>
      </c>
      <c r="I107" s="23">
        <v>900</v>
      </c>
    </row>
    <row r="108" spans="1:9" ht="12.75">
      <c r="A108" s="22">
        <v>56</v>
      </c>
      <c r="B108" s="22" t="s">
        <v>9</v>
      </c>
      <c r="C108" s="22">
        <v>21</v>
      </c>
      <c r="D108" s="22" t="s">
        <v>10</v>
      </c>
      <c r="E108" s="22" t="s">
        <v>17</v>
      </c>
      <c r="F108" s="22">
        <v>2227</v>
      </c>
      <c r="G108" s="22">
        <v>42</v>
      </c>
      <c r="H108" s="22">
        <v>2</v>
      </c>
      <c r="I108" s="23">
        <v>900</v>
      </c>
    </row>
    <row r="109" spans="1:9" ht="12.75">
      <c r="A109" s="22">
        <v>86</v>
      </c>
      <c r="B109" s="22" t="s">
        <v>8</v>
      </c>
      <c r="C109" s="22">
        <v>29</v>
      </c>
      <c r="D109" s="22" t="s">
        <v>11</v>
      </c>
      <c r="E109" s="22" t="s">
        <v>17</v>
      </c>
      <c r="F109" s="22">
        <v>3018</v>
      </c>
      <c r="G109" s="22">
        <v>40</v>
      </c>
      <c r="H109" s="22">
        <v>3</v>
      </c>
      <c r="I109" s="23">
        <v>900</v>
      </c>
    </row>
    <row r="110" spans="1:9" ht="12.75">
      <c r="A110" s="22">
        <v>110</v>
      </c>
      <c r="B110" s="22" t="s">
        <v>9</v>
      </c>
      <c r="C110" s="22">
        <v>31</v>
      </c>
      <c r="D110" s="22" t="s">
        <v>11</v>
      </c>
      <c r="E110" s="22" t="s">
        <v>17</v>
      </c>
      <c r="F110" s="22">
        <v>3134</v>
      </c>
      <c r="G110" s="22">
        <v>44</v>
      </c>
      <c r="H110" s="22">
        <v>3</v>
      </c>
      <c r="I110" s="23">
        <v>900</v>
      </c>
    </row>
    <row r="111" spans="1:9" ht="12.75">
      <c r="A111" s="22">
        <v>44</v>
      </c>
      <c r="B111" s="22" t="s">
        <v>9</v>
      </c>
      <c r="C111" s="22">
        <v>18</v>
      </c>
      <c r="D111" s="22" t="s">
        <v>11</v>
      </c>
      <c r="E111" s="22" t="s">
        <v>16</v>
      </c>
      <c r="F111" s="22">
        <v>3657</v>
      </c>
      <c r="G111" s="22">
        <v>43</v>
      </c>
      <c r="H111" s="22">
        <v>2</v>
      </c>
      <c r="I111" s="23">
        <v>900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Величко Оксана</dc:creator>
  <cp:keywords/>
  <dc:description/>
  <cp:lastModifiedBy>User</cp:lastModifiedBy>
  <cp:lastPrinted>1996-05-18T19:02:50Z</cp:lastPrinted>
  <dcterms:created xsi:type="dcterms:W3CDTF">1999-03-24T13:04:28Z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