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524" windowWidth="9348" windowHeight="471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<sst xmlns="http://schemas.openxmlformats.org/spreadsheetml/2006/main" count="47" uniqueCount="43">
  <si>
    <t>Длина волны,м</t>
  </si>
  <si>
    <t>Угол,град</t>
  </si>
  <si>
    <t>Угол,рад</t>
  </si>
  <si>
    <t>Множитель</t>
  </si>
  <si>
    <t>Пл. E</t>
  </si>
  <si>
    <t>Пл. H</t>
  </si>
  <si>
    <t>Норм.R</t>
  </si>
  <si>
    <t>Q(R') с 3</t>
  </si>
  <si>
    <t>F(R')*R'</t>
  </si>
  <si>
    <t>F(R')^2*R'</t>
  </si>
  <si>
    <t>U</t>
  </si>
  <si>
    <t>Лямбда,1</t>
  </si>
  <si>
    <t>Лямбда,2</t>
  </si>
  <si>
    <t>Лямбда,3</t>
  </si>
  <si>
    <t>ДН с 3</t>
  </si>
  <si>
    <t>F^2обл*Sin</t>
  </si>
  <si>
    <t>Интеграл</t>
  </si>
  <si>
    <t>S1</t>
  </si>
  <si>
    <t>Множит.B</t>
  </si>
  <si>
    <t>S2</t>
  </si>
  <si>
    <t>b=       ,м</t>
  </si>
  <si>
    <t>Множит.A</t>
  </si>
  <si>
    <t>a=       ,м</t>
  </si>
  <si>
    <t>Радиус антенны</t>
  </si>
  <si>
    <t>Градусы</t>
  </si>
  <si>
    <t>Радианы</t>
  </si>
  <si>
    <t>КПД</t>
  </si>
  <si>
    <t>Частота,Гц</t>
  </si>
  <si>
    <t xml:space="preserve">a0 = </t>
  </si>
  <si>
    <t>a1 =</t>
  </si>
  <si>
    <t>a2 =</t>
  </si>
  <si>
    <t>Бес.1</t>
  </si>
  <si>
    <t>F(R')</t>
  </si>
  <si>
    <t>Расчет КИП</t>
  </si>
  <si>
    <t>Расчет КПД</t>
  </si>
  <si>
    <t>КИП</t>
  </si>
  <si>
    <t>КНД</t>
  </si>
  <si>
    <t>Шумовая температура</t>
  </si>
  <si>
    <t>Альфа</t>
  </si>
  <si>
    <t>p</t>
  </si>
  <si>
    <t>Тв,г</t>
  </si>
  <si>
    <t>Tшт</t>
  </si>
  <si>
    <t>Тз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</si>
</sst>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Сравнение F(R') С Q(R')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52"/>
          <c:w val="0.729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Лист1!$H$1</c:f>
              <c:strCache>
                <c:ptCount val="1"/>
                <c:pt idx="0">
                  <c:v>F(R')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Лист1!$H$2:$H$15</c:f>
              <c:numCache/>
            </c:numRef>
          </c:val>
          <c:smooth val="1"/>
        </c:ser>
        <c:ser>
          <c:idx val="1"/>
          <c:order val="1"/>
          <c:tx>
            <c:strRef>
              <c:f>Лист1!$I$1</c:f>
              <c:strCache>
                <c:ptCount val="1"/>
                <c:pt idx="0">
                  <c:v>Q(R') с 3</c:v>
                </c:pt>
              </c:strCache>
            </c:strRef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Лист1!$I$2:$I$15</c:f>
              <c:numCache/>
            </c:numRef>
          </c:val>
          <c:smooth val="1"/>
        </c:ser>
        <c:axId val="56067768"/>
        <c:axId val="34847865"/>
      </c:lineChart>
      <c:catAx>
        <c:axId val="5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Норм. радиус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47865"/>
        <c:crosses val="autoZero"/>
        <c:auto val="0"/>
        <c:lblOffset val="100"/>
        <c:noMultiLvlLbl val="0"/>
      </c:catAx>
      <c:valAx>
        <c:axId val="34847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6776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6067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Передача энергии от облучателя к зеркалу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Лист1!$B$2:$B$38</c:f>
              <c:numCache/>
            </c:numRef>
          </c:cat>
          <c:val>
            <c:numRef>
              <c:f>Лист1!$W$3:$W$39</c:f>
              <c:numCache/>
            </c:numRef>
          </c:val>
          <c:smooth val="1"/>
        </c:ser>
        <c:axId val="45195330"/>
        <c:axId val="4104787"/>
      </c:lineChart>
      <c:catAx>
        <c:axId val="45195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4787"/>
        <c:crosses val="autoZero"/>
        <c:auto val="0"/>
        <c:lblOffset val="100"/>
        <c:noMultiLvlLbl val="0"/>
      </c:catAx>
      <c:valAx>
        <c:axId val="4104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95330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ДН с 3мя членами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Лист1!$J$2:$J$13</c:f>
              <c:numCache/>
            </c:numRef>
          </c:cat>
          <c:val>
            <c:numRef>
              <c:f>Лист1!$Q$2:$Q$13</c:f>
              <c:numCache/>
            </c:numRef>
          </c:val>
          <c:smooth val="1"/>
        </c:ser>
        <c:axId val="36943084"/>
        <c:axId val="64052301"/>
      </c:lineChart>
      <c:catAx>
        <c:axId val="36943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Градусы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52301"/>
        <c:crosses val="autoZero"/>
        <c:auto val="0"/>
        <c:lblOffset val="100"/>
        <c:noMultiLvlLbl val="0"/>
      </c:catAx>
      <c:valAx>
        <c:axId val="64052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43084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Расчет КИП</a:t>
            </a:r>
          </a:p>
        </c:rich>
      </c:tx>
      <c:layout>
        <c:manualLayout>
          <c:xMode val="factor"/>
          <c:yMode val="factor"/>
          <c:x val="0.00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2"/>
          <c:w val="0.80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Лист1!$T$2</c:f>
              <c:strCache>
                <c:ptCount val="1"/>
                <c:pt idx="0">
                  <c:v>S2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Лист1!$T$3:$T$15</c:f>
              <c:numCache/>
            </c:numRef>
          </c:val>
          <c:smooth val="1"/>
        </c:ser>
        <c:ser>
          <c:idx val="1"/>
          <c:order val="1"/>
          <c:tx>
            <c:strRef>
              <c:f>Лист1!$U$2</c:f>
              <c:strCache>
                <c:ptCount val="1"/>
                <c:pt idx="0">
                  <c:v>S1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Лист1!$G$2:$G$15</c:f>
              <c:numCache/>
            </c:numRef>
          </c:cat>
          <c:val>
            <c:numRef>
              <c:f>Лист1!$U$3:$U$15</c:f>
              <c:numCache/>
            </c:numRef>
          </c:val>
          <c:smooth val="1"/>
        </c:ser>
        <c:axId val="39599798"/>
        <c:axId val="20853863"/>
      </c:lineChart>
      <c:catAx>
        <c:axId val="395997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853863"/>
        <c:crosses val="autoZero"/>
        <c:auto val="0"/>
        <c:lblOffset val="100"/>
        <c:noMultiLvlLbl val="0"/>
      </c:catAx>
      <c:valAx>
        <c:axId val="208538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9979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38</xdr:row>
      <xdr:rowOff>104775</xdr:rowOff>
    </xdr:from>
    <xdr:to>
      <xdr:col>7</xdr:col>
      <xdr:colOff>600075</xdr:colOff>
      <xdr:row>53</xdr:row>
      <xdr:rowOff>133350</xdr:rowOff>
    </xdr:to>
    <xdr:graphicFrame>
      <xdr:nvGraphicFramePr>
        <xdr:cNvPr id="1" name="Chart 3"/>
        <xdr:cNvGraphicFramePr/>
      </xdr:nvGraphicFramePr>
      <xdr:xfrm>
        <a:off x="1266825" y="6334125"/>
        <a:ext cx="48577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200025</xdr:colOff>
      <xdr:row>9</xdr:row>
      <xdr:rowOff>95250</xdr:rowOff>
    </xdr:from>
    <xdr:to>
      <xdr:col>29</xdr:col>
      <xdr:colOff>561975</xdr:colOff>
      <xdr:row>26</xdr:row>
      <xdr:rowOff>114300</xdr:rowOff>
    </xdr:to>
    <xdr:graphicFrame>
      <xdr:nvGraphicFramePr>
        <xdr:cNvPr id="2" name="Chart 6"/>
        <xdr:cNvGraphicFramePr/>
      </xdr:nvGraphicFramePr>
      <xdr:xfrm>
        <a:off x="16392525" y="1552575"/>
        <a:ext cx="44958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31</xdr:row>
      <xdr:rowOff>9525</xdr:rowOff>
    </xdr:from>
    <xdr:to>
      <xdr:col>16</xdr:col>
      <xdr:colOff>238125</xdr:colOff>
      <xdr:row>48</xdr:row>
      <xdr:rowOff>85725</xdr:rowOff>
    </xdr:to>
    <xdr:graphicFrame>
      <xdr:nvGraphicFramePr>
        <xdr:cNvPr id="3" name="Chart 7"/>
        <xdr:cNvGraphicFramePr/>
      </xdr:nvGraphicFramePr>
      <xdr:xfrm>
        <a:off x="7315200" y="5105400"/>
        <a:ext cx="43148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16</xdr:row>
      <xdr:rowOff>95250</xdr:rowOff>
    </xdr:from>
    <xdr:to>
      <xdr:col>16</xdr:col>
      <xdr:colOff>247650</xdr:colOff>
      <xdr:row>31</xdr:row>
      <xdr:rowOff>9525</xdr:rowOff>
    </xdr:to>
    <xdr:graphicFrame>
      <xdr:nvGraphicFramePr>
        <xdr:cNvPr id="4" name="Chart 8"/>
        <xdr:cNvGraphicFramePr/>
      </xdr:nvGraphicFramePr>
      <xdr:xfrm>
        <a:off x="7315200" y="2762250"/>
        <a:ext cx="43243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="80" zoomScaleNormal="80" workbookViewId="0" topLeftCell="F14">
      <selection activeCell="P15" sqref="P15"/>
    </sheetView>
  </sheetViews>
  <sheetFormatPr defaultColWidth="9.00390625" defaultRowHeight="12.75"/>
  <cols>
    <col min="1" max="1" width="16.125" style="0" customWidth="1"/>
    <col min="2" max="2" width="10.375" style="0" customWidth="1"/>
    <col min="3" max="3" width="10.25390625" style="0" customWidth="1"/>
    <col min="4" max="4" width="11.75390625" style="0" customWidth="1"/>
    <col min="5" max="5" width="8.125" style="0" customWidth="1"/>
    <col min="6" max="6" width="7.875" style="0" customWidth="1"/>
    <col min="7" max="7" width="8.00390625" style="0" customWidth="1"/>
    <col min="8" max="8" width="11.25390625" style="0" customWidth="1"/>
    <col min="9" max="10" width="8.50390625" style="0" customWidth="1"/>
    <col min="11" max="11" width="8.125" style="0" customWidth="1"/>
    <col min="12" max="12" width="4.25390625" style="0" customWidth="1"/>
    <col min="13" max="13" width="5.75390625" style="0" bestFit="1" customWidth="1"/>
    <col min="14" max="14" width="12.625" style="0" bestFit="1" customWidth="1"/>
    <col min="15" max="16" width="9.00390625" style="0" bestFit="1" customWidth="1"/>
    <col min="24" max="24" width="8.75390625" style="0" customWidth="1"/>
    <col min="28" max="28" width="9.50390625" style="0" customWidth="1"/>
  </cols>
  <sheetData>
    <row r="1" spans="1:26" ht="12.75">
      <c r="A1" t="s">
        <v>27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32</v>
      </c>
      <c r="I1" t="s">
        <v>7</v>
      </c>
      <c r="J1" t="s">
        <v>24</v>
      </c>
      <c r="K1" t="s">
        <v>25</v>
      </c>
      <c r="L1" t="s">
        <v>10</v>
      </c>
      <c r="M1" t="s">
        <v>31</v>
      </c>
      <c r="N1" t="s">
        <v>11</v>
      </c>
      <c r="O1" t="s">
        <v>12</v>
      </c>
      <c r="P1" t="s">
        <v>13</v>
      </c>
      <c r="Q1" t="s">
        <v>14</v>
      </c>
      <c r="R1" t="s">
        <v>33</v>
      </c>
      <c r="V1" t="s">
        <v>34</v>
      </c>
      <c r="X1" t="s">
        <v>26</v>
      </c>
      <c r="Y1" t="s">
        <v>36</v>
      </c>
      <c r="Z1" t="s">
        <v>37</v>
      </c>
    </row>
    <row r="2" spans="1:27" ht="12.75">
      <c r="A2" s="2">
        <v>20000000000</v>
      </c>
      <c r="B2" s="1">
        <v>0.001</v>
      </c>
      <c r="C2" s="1">
        <f>B2*PI()/180</f>
        <v>1.7453292519943296E-05</v>
      </c>
      <c r="D2" s="1">
        <f aca="true" t="shared" si="0" ref="D2:D17">(1+COS(B2*(PI()/180)))/2</f>
        <v>0.9999999999238456</v>
      </c>
      <c r="E2" s="1">
        <f aca="true" t="shared" si="1" ref="E2:E38">(D2*SIN($A$6*PI()*SIN(C2)))/($A$6*PI()*SIN(C2))</f>
        <v>0.9999999996989126</v>
      </c>
      <c r="F2" s="1">
        <f aca="true" t="shared" si="2" ref="F2:F15">D2*(COS($A$10*PI()*SIN(C2)))/(1-(2*$A$10*SIN(C2))^2)</f>
        <v>0.9999999996828272</v>
      </c>
      <c r="G2" s="1">
        <f>TAN((C2)/2)/TAN(($C$15)/2)</f>
        <v>1.369809077123151E-05</v>
      </c>
      <c r="H2" s="1">
        <f aca="true" t="shared" si="3" ref="H2:H15">E2*D2</f>
        <v>0.9999999996227582</v>
      </c>
      <c r="I2">
        <f>$G$17+$G$18*(1-(G2)^2)+$G$19*((1-(G2)^2)^2)</f>
        <v>0.999999999671634</v>
      </c>
      <c r="J2">
        <v>0.15</v>
      </c>
      <c r="K2">
        <f aca="true" t="shared" si="4" ref="K2:K13">RADIANS(J2)</f>
        <v>0.002617993877991494</v>
      </c>
      <c r="L2">
        <f aca="true" t="shared" si="5" ref="L2:L10">((2*PI())/$A$4)*$A$14*SIN(K2)</f>
        <v>0.8224660939077392</v>
      </c>
      <c r="M2">
        <f aca="true" t="shared" si="6" ref="M2:M13">0.5*L2-((0.5*L2)^3)/2+(0.5*L2)^5/(FACT(2)*FACT(3))-(0.5*L2)^7/(FACT(3)*FACT(4))+(0.5*L2)^9/(FACT(4)*FACT(5))-(0.5*L2)^11/(FACT(5)*FACT(6))+(0.5*L2)^13/(FACT(6)*FACT(7))-(0.5*L2)^15/(FACT(7)*FACT(8))+(0.5*L2)^17/(FACT(8)*FACT(9))-(0.5*L2)^19/(FACT(9)*FACT(10))+(0.5*L2)^21/(FACT(10)*FACT(11))-(0.5*L2)^23/(FACT(11)*FACT(12))</f>
        <v>0.37742707623432487</v>
      </c>
      <c r="N2">
        <f aca="true" t="shared" si="7" ref="N2:N13">2*M2/L2</f>
        <v>0.9177936428748711</v>
      </c>
      <c r="O2">
        <v>0.9</v>
      </c>
      <c r="P2">
        <v>0.92</v>
      </c>
      <c r="Q2">
        <f>(6*$G$17*N2+3*$G$18*O2+2*$G$19*P2)/(6*$G$17+3*$G$18+2*$G$19)</f>
        <v>0.924251077931748</v>
      </c>
      <c r="R2" t="s">
        <v>9</v>
      </c>
      <c r="S2" t="s">
        <v>8</v>
      </c>
      <c r="T2" t="s">
        <v>19</v>
      </c>
      <c r="U2" t="s">
        <v>17</v>
      </c>
      <c r="V2" t="s">
        <v>15</v>
      </c>
      <c r="W2" t="s">
        <v>16</v>
      </c>
      <c r="X2">
        <f>X4/(X4+X6)</f>
        <v>0.8158614770630157</v>
      </c>
      <c r="Y2" s="2">
        <f>(4*(PI()*$A$14)^2*$R$20)/($A$4^2)</f>
        <v>76702.80727856574</v>
      </c>
      <c r="Z2" t="s">
        <v>42</v>
      </c>
      <c r="AA2" t="s">
        <v>41</v>
      </c>
    </row>
    <row r="3" spans="1:27" ht="12.75">
      <c r="A3" s="1" t="s">
        <v>0</v>
      </c>
      <c r="B3" s="1">
        <v>5</v>
      </c>
      <c r="C3" s="1">
        <f aca="true" t="shared" si="8" ref="C3:C18">B3*PI()/180</f>
        <v>0.08726646259971647</v>
      </c>
      <c r="D3" s="1">
        <f t="shared" si="0"/>
        <v>0.9980973490458728</v>
      </c>
      <c r="E3" s="1">
        <f t="shared" si="1"/>
        <v>0.9925083736889607</v>
      </c>
      <c r="F3" s="1">
        <f t="shared" si="2"/>
        <v>0.9921117723420675</v>
      </c>
      <c r="G3" s="1">
        <f aca="true" t="shared" si="9" ref="G3:G15">TAN((C3)/2)/TAN(($C$15)/2)</f>
        <v>0.06853395236684155</v>
      </c>
      <c r="H3" s="1">
        <f t="shared" si="3"/>
        <v>0.9906199766847822</v>
      </c>
      <c r="I3">
        <f aca="true" t="shared" si="10" ref="I3:I15">$G$17+$G$18*(1-(G3)^2)+$G$19*((1-(G3)^2)^2)</f>
        <v>0.9918024812970019</v>
      </c>
      <c r="J3">
        <f>J2+0.15</f>
        <v>0.3</v>
      </c>
      <c r="K3">
        <f t="shared" si="4"/>
        <v>0.005235987755982988</v>
      </c>
      <c r="L3">
        <f t="shared" si="5"/>
        <v>1.6449265507249617</v>
      </c>
      <c r="M3">
        <f t="shared" si="6"/>
        <v>0.573939755834432</v>
      </c>
      <c r="N3">
        <f t="shared" si="7"/>
        <v>0.6978302533708656</v>
      </c>
      <c r="O3">
        <v>0.73</v>
      </c>
      <c r="P3">
        <v>0.82</v>
      </c>
      <c r="Q3">
        <f aca="true" t="shared" si="11" ref="Q3:Q13">(6*$G$17*N3+3*$G$18*O3+2*$G$19*P3)/(6*$G$17+3*$G$18+2*$G$19)</f>
        <v>0.7779074109295631</v>
      </c>
      <c r="R3">
        <f>(H2^2)*G2</f>
        <v>1.3698090760896525E-05</v>
      </c>
      <c r="S3">
        <f aca="true" t="shared" si="12" ref="S3:S15">H2*G2</f>
        <v>1.3698090766064017E-05</v>
      </c>
      <c r="T3">
        <f>R3*G2</f>
        <v>1.8763769063532828E-10</v>
      </c>
      <c r="U3">
        <f>S3*G2</f>
        <v>1.8763769070611307E-10</v>
      </c>
      <c r="V3">
        <f aca="true" t="shared" si="13" ref="V3:V39">((E2)^2)*SIN(C2)</f>
        <v>1.745329250854727E-05</v>
      </c>
      <c r="W3">
        <f>V3*((B2+B2/2)-(B2-B2/2))</f>
        <v>1.745329250854727E-08</v>
      </c>
      <c r="X3" t="s">
        <v>17</v>
      </c>
      <c r="Z3">
        <v>19</v>
      </c>
      <c r="AA3">
        <f>X2*Z3/(SIN(Z5*PI()/180)+Z7)+(1-X2)*Z9</f>
        <v>75.20618094803972</v>
      </c>
    </row>
    <row r="4" spans="1:26" ht="12.75">
      <c r="A4" s="1">
        <f>(300000000/$A$2)</f>
        <v>0.015</v>
      </c>
      <c r="B4" s="1">
        <f>B3+5</f>
        <v>10</v>
      </c>
      <c r="C4" s="1">
        <f t="shared" si="8"/>
        <v>0.17453292519943295</v>
      </c>
      <c r="D4" s="1">
        <f t="shared" si="0"/>
        <v>0.9924038765061041</v>
      </c>
      <c r="E4" s="1">
        <f t="shared" si="1"/>
        <v>0.9704543287516234</v>
      </c>
      <c r="F4" s="1">
        <f t="shared" si="2"/>
        <v>0.9689326006231076</v>
      </c>
      <c r="G4" s="1">
        <f t="shared" si="9"/>
        <v>0.13732969329792794</v>
      </c>
      <c r="H4" s="1">
        <f t="shared" si="3"/>
        <v>0.9630826378252402</v>
      </c>
      <c r="I4">
        <f t="shared" si="10"/>
        <v>0.9673516504956525</v>
      </c>
      <c r="J4">
        <f aca="true" t="shared" si="14" ref="J4:J13">J3+0.15</f>
        <v>0.44999999999999996</v>
      </c>
      <c r="K4">
        <f t="shared" si="4"/>
        <v>0.007853981633974482</v>
      </c>
      <c r="L4">
        <f t="shared" si="5"/>
        <v>2.467375733399787</v>
      </c>
      <c r="M4">
        <f t="shared" si="6"/>
        <v>0.5049886018248942</v>
      </c>
      <c r="N4">
        <f t="shared" si="7"/>
        <v>0.4093325511709337</v>
      </c>
      <c r="O4">
        <v>0.58</v>
      </c>
      <c r="P4">
        <v>0.65</v>
      </c>
      <c r="Q4">
        <f t="shared" si="11"/>
        <v>0.5378177551841457</v>
      </c>
      <c r="R4">
        <f aca="true" t="shared" si="15" ref="R4:R15">H3^2*G3</f>
        <v>0.06725428217332652</v>
      </c>
      <c r="S4">
        <f t="shared" si="12"/>
        <v>0.06789110229575655</v>
      </c>
      <c r="T4">
        <f>R4*(G3-G2)</f>
        <v>0.004608280515670917</v>
      </c>
      <c r="U4">
        <f>S4*(G3-G2)</f>
        <v>0.00465191559238794</v>
      </c>
      <c r="V4">
        <f t="shared" si="13"/>
        <v>0.0858547578060197</v>
      </c>
      <c r="W4">
        <f aca="true" t="shared" si="16" ref="W4:W39">V4*((B3+(B3-B2)/2)-(B3-(B3-B2)/2))</f>
        <v>0.42918793427229235</v>
      </c>
      <c r="X4">
        <f>SUM(W3:W16)</f>
        <v>13.62968506832573</v>
      </c>
      <c r="Z4" t="s">
        <v>38</v>
      </c>
    </row>
    <row r="5" spans="1:26" ht="12.75">
      <c r="A5" s="1" t="s">
        <v>18</v>
      </c>
      <c r="B5" s="1">
        <f aca="true" t="shared" si="17" ref="B5:B21">B4+5</f>
        <v>15</v>
      </c>
      <c r="C5" s="1">
        <f t="shared" si="8"/>
        <v>0.2617993877991494</v>
      </c>
      <c r="D5" s="1">
        <f t="shared" si="0"/>
        <v>0.9829629131445341</v>
      </c>
      <c r="E5" s="1">
        <f t="shared" si="1"/>
        <v>0.9350579147819605</v>
      </c>
      <c r="F5" s="1">
        <f t="shared" si="2"/>
        <v>0.9318638484001086</v>
      </c>
      <c r="G5" s="1">
        <f t="shared" si="9"/>
        <v>0.20665302665443042</v>
      </c>
      <c r="H5" s="1">
        <f t="shared" si="3"/>
        <v>0.9191272518729294</v>
      </c>
      <c r="I5">
        <f t="shared" si="10"/>
        <v>0.9270891789659764</v>
      </c>
      <c r="J5">
        <f t="shared" si="14"/>
        <v>0.6</v>
      </c>
      <c r="K5">
        <f t="shared" si="4"/>
        <v>0.010471975511965976</v>
      </c>
      <c r="L5">
        <f t="shared" si="5"/>
        <v>3.2898080049576066</v>
      </c>
      <c r="M5">
        <f t="shared" si="6"/>
        <v>0.22485003585675292</v>
      </c>
      <c r="N5">
        <f t="shared" si="7"/>
        <v>0.1366949290158654</v>
      </c>
      <c r="O5">
        <v>0.4</v>
      </c>
      <c r="P5">
        <v>0.51</v>
      </c>
      <c r="Q5">
        <f t="shared" si="11"/>
        <v>0.33637905219047204</v>
      </c>
      <c r="R5">
        <f t="shared" si="15"/>
        <v>0.12737715873780966</v>
      </c>
      <c r="S5">
        <f t="shared" si="12"/>
        <v>0.13225984327309964</v>
      </c>
      <c r="T5">
        <f aca="true" t="shared" si="18" ref="T5:T15">R5*(G4-G3)</f>
        <v>0.00876300601306422</v>
      </c>
      <c r="U5">
        <f aca="true" t="shared" si="19" ref="U5:U15">S5*(G4-G3)</f>
        <v>0.009098913913402252</v>
      </c>
      <c r="V5">
        <f t="shared" si="13"/>
        <v>0.16353865932831171</v>
      </c>
      <c r="W5">
        <f t="shared" si="16"/>
        <v>0.8176932966415585</v>
      </c>
      <c r="X5" t="s">
        <v>19</v>
      </c>
      <c r="Z5">
        <v>15</v>
      </c>
    </row>
    <row r="6" spans="1:26" ht="12.75">
      <c r="A6" s="1">
        <v>0.67</v>
      </c>
      <c r="B6" s="1">
        <f t="shared" si="17"/>
        <v>20</v>
      </c>
      <c r="C6" s="1">
        <f t="shared" si="8"/>
        <v>0.3490658503988659</v>
      </c>
      <c r="D6" s="1">
        <f t="shared" si="0"/>
        <v>0.9698463103929542</v>
      </c>
      <c r="E6" s="1">
        <f t="shared" si="1"/>
        <v>0.8882174897881868</v>
      </c>
      <c r="F6" s="1">
        <f t="shared" si="2"/>
        <v>0.8830667554960856</v>
      </c>
      <c r="G6" s="1">
        <f t="shared" si="9"/>
        <v>0.2767779184747514</v>
      </c>
      <c r="H6" s="1">
        <f t="shared" si="3"/>
        <v>0.8614344552975645</v>
      </c>
      <c r="I6">
        <f t="shared" si="10"/>
        <v>0.8718079534395451</v>
      </c>
      <c r="J6">
        <f t="shared" si="14"/>
        <v>0.75</v>
      </c>
      <c r="K6">
        <f t="shared" si="4"/>
        <v>0.013089969389957472</v>
      </c>
      <c r="L6">
        <f t="shared" si="5"/>
        <v>4.112217728539719</v>
      </c>
      <c r="M6">
        <f t="shared" si="6"/>
        <v>-0.10770022041065454</v>
      </c>
      <c r="N6">
        <f t="shared" si="7"/>
        <v>-0.052380602156928954</v>
      </c>
      <c r="O6">
        <v>0.17</v>
      </c>
      <c r="P6">
        <v>0.31</v>
      </c>
      <c r="Q6">
        <f t="shared" si="11"/>
        <v>0.150519671550766</v>
      </c>
      <c r="R6">
        <f t="shared" si="15"/>
        <v>0.17457942404849008</v>
      </c>
      <c r="S6">
        <f t="shared" si="12"/>
        <v>0.18994042848010986</v>
      </c>
      <c r="T6">
        <f t="shared" si="18"/>
        <v>0.012102427610499684</v>
      </c>
      <c r="U6">
        <f t="shared" si="19"/>
        <v>0.013167303641403574</v>
      </c>
      <c r="V6">
        <f t="shared" si="13"/>
        <v>0.22629411084167717</v>
      </c>
      <c r="W6">
        <f t="shared" si="16"/>
        <v>1.1314705542083858</v>
      </c>
      <c r="X6">
        <f>SUM(W16:W39)</f>
        <v>3.0761963239305143</v>
      </c>
      <c r="Z6" t="s">
        <v>39</v>
      </c>
    </row>
    <row r="7" spans="1:26" ht="12.75">
      <c r="A7" s="1" t="s">
        <v>20</v>
      </c>
      <c r="B7" s="1">
        <f t="shared" si="17"/>
        <v>25</v>
      </c>
      <c r="C7" s="1">
        <f t="shared" si="8"/>
        <v>0.4363323129985824</v>
      </c>
      <c r="D7" s="1">
        <f t="shared" si="0"/>
        <v>0.953153893518325</v>
      </c>
      <c r="E7" s="1">
        <f t="shared" si="1"/>
        <v>0.8323283657742319</v>
      </c>
      <c r="F7" s="1">
        <f t="shared" si="2"/>
        <v>0.8252319983712912</v>
      </c>
      <c r="G7" s="1">
        <f t="shared" si="9"/>
        <v>0.3479909144745504</v>
      </c>
      <c r="H7" s="1">
        <f t="shared" si="3"/>
        <v>0.7933370225234537</v>
      </c>
      <c r="I7">
        <f t="shared" si="10"/>
        <v>0.8027437132930042</v>
      </c>
      <c r="J7">
        <f t="shared" si="14"/>
        <v>0.9</v>
      </c>
      <c r="K7">
        <f t="shared" si="4"/>
        <v>0.015707963267948967</v>
      </c>
      <c r="L7">
        <f t="shared" si="5"/>
        <v>4.934599267441961</v>
      </c>
      <c r="M7">
        <f t="shared" si="6"/>
        <v>-0.3195306177508816</v>
      </c>
      <c r="N7">
        <f t="shared" si="7"/>
        <v>-0.12950620726554865</v>
      </c>
      <c r="O7">
        <v>0.01</v>
      </c>
      <c r="P7">
        <v>0.125</v>
      </c>
      <c r="Q7">
        <f t="shared" si="11"/>
        <v>0.017542068764246185</v>
      </c>
      <c r="R7">
        <f t="shared" si="15"/>
        <v>0.20538840196774819</v>
      </c>
      <c r="S7">
        <f t="shared" si="12"/>
        <v>0.23842603543969118</v>
      </c>
      <c r="T7">
        <f t="shared" si="18"/>
        <v>0.014402839469136947</v>
      </c>
      <c r="U7">
        <f t="shared" si="19"/>
        <v>0.016719599942356365</v>
      </c>
      <c r="V7">
        <f t="shared" si="13"/>
        <v>0.26983005741479216</v>
      </c>
      <c r="W7">
        <f t="shared" si="16"/>
        <v>1.349150287073961</v>
      </c>
      <c r="Z7">
        <v>0.07</v>
      </c>
    </row>
    <row r="8" spans="1:26" ht="12.75">
      <c r="A8" s="1">
        <f>$A$4*$A$6</f>
        <v>0.01005</v>
      </c>
      <c r="B8" s="1">
        <f t="shared" si="17"/>
        <v>30</v>
      </c>
      <c r="C8" s="1">
        <f t="shared" si="8"/>
        <v>0.5235987755982988</v>
      </c>
      <c r="D8" s="1">
        <f t="shared" si="0"/>
        <v>0.9330127018922194</v>
      </c>
      <c r="E8" s="1">
        <f t="shared" si="1"/>
        <v>0.7700669032662054</v>
      </c>
      <c r="F8" s="1">
        <f t="shared" si="2"/>
        <v>0.7613118416973971</v>
      </c>
      <c r="G8" s="1">
        <f t="shared" si="9"/>
        <v>0.4205959827594123</v>
      </c>
      <c r="H8" s="1">
        <f t="shared" si="3"/>
        <v>0.7184822020541767</v>
      </c>
      <c r="I8">
        <f t="shared" si="10"/>
        <v>0.7217172407289744</v>
      </c>
      <c r="J8">
        <f t="shared" si="14"/>
        <v>1.05</v>
      </c>
      <c r="K8">
        <f t="shared" si="4"/>
        <v>0.01832595714594046</v>
      </c>
      <c r="L8">
        <f t="shared" si="5"/>
        <v>5.756946985153349</v>
      </c>
      <c r="M8">
        <f t="shared" si="6"/>
        <v>-0.3170258098977933</v>
      </c>
      <c r="N8">
        <f t="shared" si="7"/>
        <v>-0.11013678281748102</v>
      </c>
      <c r="O8">
        <v>-0.04</v>
      </c>
      <c r="P8">
        <v>0.045</v>
      </c>
      <c r="Q8">
        <f t="shared" si="11"/>
        <v>-0.016438245173171464</v>
      </c>
      <c r="R8">
        <f t="shared" si="15"/>
        <v>0.21901978541362008</v>
      </c>
      <c r="S8">
        <f t="shared" si="12"/>
        <v>0.27607407595445366</v>
      </c>
      <c r="T8">
        <f t="shared" si="18"/>
        <v>0.015597055102536955</v>
      </c>
      <c r="U8">
        <f t="shared" si="19"/>
        <v>0.019660062066592706</v>
      </c>
      <c r="V8">
        <f t="shared" si="13"/>
        <v>0.29277746807582766</v>
      </c>
      <c r="W8">
        <f t="shared" si="16"/>
        <v>1.4638873403791384</v>
      </c>
      <c r="Z8" t="s">
        <v>40</v>
      </c>
    </row>
    <row r="9" spans="1:26" ht="12.75">
      <c r="A9" s="1" t="s">
        <v>21</v>
      </c>
      <c r="B9" s="1">
        <f t="shared" si="17"/>
        <v>35</v>
      </c>
      <c r="C9" s="1">
        <f t="shared" si="8"/>
        <v>0.6108652381980153</v>
      </c>
      <c r="D9" s="1">
        <f t="shared" si="0"/>
        <v>0.909576022144496</v>
      </c>
      <c r="E9" s="1">
        <f t="shared" si="1"/>
        <v>0.7041688014307297</v>
      </c>
      <c r="F9" s="1">
        <f t="shared" si="2"/>
        <v>0.6942545292415833</v>
      </c>
      <c r="G9" s="1">
        <f t="shared" si="9"/>
        <v>0.49491996138595296</v>
      </c>
      <c r="H9" s="1">
        <f t="shared" si="3"/>
        <v>0.6404950573236206</v>
      </c>
      <c r="I9">
        <f t="shared" si="10"/>
        <v>0.6313433350364663</v>
      </c>
      <c r="J9">
        <f t="shared" si="14"/>
        <v>1.2</v>
      </c>
      <c r="K9">
        <f t="shared" si="4"/>
        <v>0.020943951023931952</v>
      </c>
      <c r="L9">
        <f t="shared" si="5"/>
        <v>6.5792552453947035</v>
      </c>
      <c r="M9">
        <f t="shared" si="6"/>
        <v>-0.13104348705745897</v>
      </c>
      <c r="N9">
        <f t="shared" si="7"/>
        <v>-0.03983535587836808</v>
      </c>
      <c r="O9">
        <v>-0.05</v>
      </c>
      <c r="P9">
        <v>-0.02</v>
      </c>
      <c r="Q9">
        <f t="shared" si="11"/>
        <v>-0.022637466842746225</v>
      </c>
      <c r="R9">
        <f t="shared" si="15"/>
        <v>0.21711865959904353</v>
      </c>
      <c r="S9">
        <f t="shared" si="12"/>
        <v>0.30219072786812307</v>
      </c>
      <c r="T9">
        <f t="shared" si="18"/>
        <v>0.015763915106106245</v>
      </c>
      <c r="U9">
        <f t="shared" si="19"/>
        <v>0.0219405784319172</v>
      </c>
      <c r="V9">
        <f t="shared" si="13"/>
        <v>0.29650151775300165</v>
      </c>
      <c r="W9">
        <f t="shared" si="16"/>
        <v>1.4825075887650083</v>
      </c>
      <c r="Z9">
        <v>152.405</v>
      </c>
    </row>
    <row r="10" spans="1:23" ht="12.75">
      <c r="A10" s="1">
        <v>0.92</v>
      </c>
      <c r="B10" s="1">
        <f t="shared" si="17"/>
        <v>40</v>
      </c>
      <c r="C10" s="1">
        <f t="shared" si="8"/>
        <v>0.6981317007977318</v>
      </c>
      <c r="D10" s="1">
        <f t="shared" si="0"/>
        <v>0.883022221559489</v>
      </c>
      <c r="E10" s="1">
        <f t="shared" si="1"/>
        <v>0.6372280226439553</v>
      </c>
      <c r="F10" s="1">
        <f t="shared" si="2"/>
        <v>0.6267752805819564</v>
      </c>
      <c r="G10" s="1">
        <f t="shared" si="9"/>
        <v>0.571318827227732</v>
      </c>
      <c r="H10" s="1">
        <f t="shared" si="3"/>
        <v>0.5626865041950257</v>
      </c>
      <c r="I10">
        <f t="shared" si="10"/>
        <v>0.5353312520142718</v>
      </c>
      <c r="J10">
        <f t="shared" si="14"/>
        <v>1.3499999999999999</v>
      </c>
      <c r="K10">
        <f t="shared" si="4"/>
        <v>0.023561944901923447</v>
      </c>
      <c r="L10">
        <f t="shared" si="5"/>
        <v>7.40151841215728</v>
      </c>
      <c r="M10">
        <f t="shared" si="6"/>
        <v>0.10997524230092351</v>
      </c>
      <c r="N10">
        <f t="shared" si="7"/>
        <v>0.02971694081589662</v>
      </c>
      <c r="O10">
        <v>-0.04</v>
      </c>
      <c r="P10">
        <v>-0.03</v>
      </c>
      <c r="Q10">
        <f t="shared" si="11"/>
        <v>0.0053001495359436095</v>
      </c>
      <c r="R10">
        <f t="shared" si="15"/>
        <v>0.20303295508144575</v>
      </c>
      <c r="S10">
        <f t="shared" si="12"/>
        <v>0.3169937890385</v>
      </c>
      <c r="T10">
        <f t="shared" si="18"/>
        <v>0.015090217013956766</v>
      </c>
      <c r="U10">
        <f t="shared" si="19"/>
        <v>0.023560239601243614</v>
      </c>
      <c r="V10">
        <f t="shared" si="13"/>
        <v>0.284409998718512</v>
      </c>
      <c r="W10">
        <f t="shared" si="16"/>
        <v>1.4220499935925601</v>
      </c>
    </row>
    <row r="11" spans="1:23" ht="12.75">
      <c r="A11" s="1" t="s">
        <v>22</v>
      </c>
      <c r="B11" s="1">
        <f t="shared" si="17"/>
        <v>45</v>
      </c>
      <c r="C11" s="1">
        <f t="shared" si="8"/>
        <v>0.7853981633974483</v>
      </c>
      <c r="D11" s="1">
        <f t="shared" si="0"/>
        <v>0.8535533905932737</v>
      </c>
      <c r="E11" s="1">
        <f t="shared" si="1"/>
        <v>0.5715363664813092</v>
      </c>
      <c r="F11" s="1">
        <f t="shared" si="2"/>
        <v>0.5611873009740062</v>
      </c>
      <c r="G11" s="1">
        <f t="shared" si="9"/>
        <v>0.6501850547035033</v>
      </c>
      <c r="H11" s="1">
        <f t="shared" si="3"/>
        <v>0.48783680345748137</v>
      </c>
      <c r="I11">
        <f t="shared" si="10"/>
        <v>0.4389135600403224</v>
      </c>
      <c r="J11">
        <f t="shared" si="14"/>
        <v>1.4999999999999998</v>
      </c>
      <c r="K11">
        <f t="shared" si="4"/>
        <v>0.026179938779914938</v>
      </c>
      <c r="L11">
        <f>((2*PI())/$A$4)*$A$14*SIN(K11)</f>
        <v>8.223730849741404</v>
      </c>
      <c r="M11">
        <f t="shared" si="6"/>
        <v>0.2593898066456905</v>
      </c>
      <c r="N11">
        <f t="shared" si="7"/>
        <v>0.06308324321043339</v>
      </c>
      <c r="O11">
        <v>-0.01</v>
      </c>
      <c r="P11">
        <v>-0.03</v>
      </c>
      <c r="Q11">
        <f>(6*$G$17*N11+3*$G$18*O11+2*$G$19*P11)/(6*$G$17+3*$G$18+2*$G$19)</f>
        <v>0.015318132660236395</v>
      </c>
      <c r="R11">
        <f t="shared" si="15"/>
        <v>0.18088874007789488</v>
      </c>
      <c r="S11">
        <f t="shared" si="12"/>
        <v>0.3214733936735744</v>
      </c>
      <c r="T11">
        <f t="shared" si="18"/>
        <v>0.013819694585499526</v>
      </c>
      <c r="U11">
        <f t="shared" si="19"/>
        <v>0.024560202674968824</v>
      </c>
      <c r="V11">
        <f t="shared" si="13"/>
        <v>0.2610100493621603</v>
      </c>
      <c r="W11">
        <f t="shared" si="16"/>
        <v>1.3050502468108016</v>
      </c>
    </row>
    <row r="12" spans="1:23" ht="12.75">
      <c r="A12" s="1">
        <f>$A$4*$A$10</f>
        <v>0.0138</v>
      </c>
      <c r="B12" s="1">
        <f t="shared" si="17"/>
        <v>50</v>
      </c>
      <c r="C12" s="1">
        <f t="shared" si="8"/>
        <v>0.8726646259971648</v>
      </c>
      <c r="D12" s="1">
        <f t="shared" si="0"/>
        <v>0.8213938048432696</v>
      </c>
      <c r="E12" s="1">
        <f t="shared" si="1"/>
        <v>0.5089749717392837</v>
      </c>
      <c r="F12" s="1">
        <f t="shared" si="2"/>
        <v>0.49930283439821105</v>
      </c>
      <c r="G12" s="1">
        <f t="shared" si="9"/>
        <v>0.7319564055053344</v>
      </c>
      <c r="H12" s="1">
        <f t="shared" si="3"/>
        <v>0.4180688886069259</v>
      </c>
      <c r="I12">
        <f t="shared" si="10"/>
        <v>0.3494586557719671</v>
      </c>
      <c r="J12">
        <f t="shared" si="14"/>
        <v>1.6499999999999997</v>
      </c>
      <c r="K12">
        <f t="shared" si="4"/>
        <v>0.028797932657906433</v>
      </c>
      <c r="L12">
        <f>((2*PI())/$A$4)*$A$14*SIN(K12)</f>
        <v>9.045886922795093</v>
      </c>
      <c r="M12">
        <f t="shared" si="6"/>
        <v>0.2323649273885287</v>
      </c>
      <c r="N12">
        <f t="shared" si="7"/>
        <v>0.05137471413731317</v>
      </c>
      <c r="O12">
        <v>0</v>
      </c>
      <c r="P12">
        <v>-0.015</v>
      </c>
      <c r="Q12">
        <f>(6*$G$17*N12+3*$G$18*O12+2*$G$19*P12)/(6*$G$17+3*$G$18+2*$G$19)</f>
        <v>0.017113480438534456</v>
      </c>
      <c r="R12">
        <f t="shared" si="15"/>
        <v>0.15473412562170744</v>
      </c>
      <c r="S12">
        <f t="shared" si="12"/>
        <v>0.31718419874238474</v>
      </c>
      <c r="T12">
        <f t="shared" si="18"/>
        <v>0.012203296749546155</v>
      </c>
      <c r="U12">
        <f t="shared" si="19"/>
        <v>0.025015121169737174</v>
      </c>
      <c r="V12">
        <f t="shared" si="13"/>
        <v>0.23097912995723358</v>
      </c>
      <c r="W12">
        <f t="shared" si="16"/>
        <v>1.1548956497861678</v>
      </c>
    </row>
    <row r="13" spans="1:23" ht="12.75">
      <c r="A13" s="1" t="s">
        <v>23</v>
      </c>
      <c r="B13" s="1">
        <f t="shared" si="17"/>
        <v>55</v>
      </c>
      <c r="C13" s="1">
        <f t="shared" si="8"/>
        <v>0.9599310885968813</v>
      </c>
      <c r="D13" s="1">
        <f t="shared" si="0"/>
        <v>0.786788218175523</v>
      </c>
      <c r="E13" s="1">
        <f t="shared" si="1"/>
        <v>0.45095998963637934</v>
      </c>
      <c r="F13" s="1">
        <f t="shared" si="2"/>
        <v>0.442401742378001</v>
      </c>
      <c r="G13" s="1">
        <f t="shared" si="9"/>
        <v>0.8171265911736676</v>
      </c>
      <c r="H13" s="1">
        <f t="shared" si="3"/>
        <v>0.3548100067144592</v>
      </c>
      <c r="I13">
        <f t="shared" si="10"/>
        <v>0.2773500039722055</v>
      </c>
      <c r="J13">
        <f t="shared" si="14"/>
        <v>1.7999999999999996</v>
      </c>
      <c r="K13">
        <f t="shared" si="4"/>
        <v>0.03141592653589793</v>
      </c>
      <c r="L13">
        <f>((2*PI())/$A$4)*$A$14*SIN(K13)</f>
        <v>9.867980996352673</v>
      </c>
      <c r="M13">
        <f t="shared" si="6"/>
        <v>0.013171384969113964</v>
      </c>
      <c r="N13">
        <f t="shared" si="7"/>
        <v>0.002669519727284086</v>
      </c>
      <c r="O13">
        <v>0</v>
      </c>
      <c r="P13">
        <v>0</v>
      </c>
      <c r="Q13">
        <f t="shared" si="11"/>
        <v>0.0014561016694276832</v>
      </c>
      <c r="R13">
        <f t="shared" si="15"/>
        <v>0.1279325084792562</v>
      </c>
      <c r="S13">
        <f t="shared" si="12"/>
        <v>0.30600820095833553</v>
      </c>
      <c r="T13">
        <f t="shared" si="18"/>
        <v>0.010461214029815485</v>
      </c>
      <c r="U13">
        <f t="shared" si="19"/>
        <v>0.02502270394880127</v>
      </c>
      <c r="V13">
        <f t="shared" si="13"/>
        <v>0.1984480429778454</v>
      </c>
      <c r="W13">
        <f t="shared" si="16"/>
        <v>0.9922402148892271</v>
      </c>
    </row>
    <row r="14" spans="1:23" ht="12.75">
      <c r="A14" s="1">
        <v>0.75</v>
      </c>
      <c r="B14" s="1">
        <f t="shared" si="17"/>
        <v>60</v>
      </c>
      <c r="C14" s="1">
        <f t="shared" si="8"/>
        <v>1.0471975511965976</v>
      </c>
      <c r="D14" s="1">
        <f t="shared" si="0"/>
        <v>0.75</v>
      </c>
      <c r="E14" s="1">
        <f t="shared" si="1"/>
        <v>0.3984370457129459</v>
      </c>
      <c r="F14" s="1">
        <f t="shared" si="2"/>
        <v>0.39125574681903175</v>
      </c>
      <c r="G14" s="1">
        <f t="shared" si="9"/>
        <v>0.9062583904918561</v>
      </c>
      <c r="H14" s="1">
        <f t="shared" si="3"/>
        <v>0.29882778428470946</v>
      </c>
      <c r="I14">
        <f t="shared" si="10"/>
        <v>0.23725823138405386</v>
      </c>
      <c r="R14">
        <f t="shared" si="15"/>
        <v>0.10286818166715707</v>
      </c>
      <c r="S14">
        <f t="shared" si="12"/>
        <v>0.28992469130089216</v>
      </c>
      <c r="T14">
        <f t="shared" si="18"/>
        <v>0.0087613021319556</v>
      </c>
      <c r="U14">
        <f t="shared" si="19"/>
        <v>0.024692939787931183</v>
      </c>
      <c r="V14">
        <f t="shared" si="13"/>
        <v>0.16658678360856807</v>
      </c>
      <c r="W14">
        <f t="shared" si="16"/>
        <v>0.8329339180428403</v>
      </c>
    </row>
    <row r="15" spans="1:23" ht="18.75" customHeight="1">
      <c r="A15" s="1"/>
      <c r="B15" s="1">
        <f t="shared" si="17"/>
        <v>65</v>
      </c>
      <c r="C15" s="1">
        <f t="shared" si="8"/>
        <v>1.1344640137963142</v>
      </c>
      <c r="D15" s="1">
        <f t="shared" si="0"/>
        <v>0.7113091308703497</v>
      </c>
      <c r="E15" s="1">
        <f t="shared" si="1"/>
        <v>0.35191396295847743</v>
      </c>
      <c r="F15" s="1">
        <f t="shared" si="2"/>
        <v>0.3461914181412373</v>
      </c>
      <c r="G15" s="1">
        <f t="shared" si="9"/>
        <v>1</v>
      </c>
      <c r="H15" s="1">
        <f t="shared" si="3"/>
        <v>0.25031961513313505</v>
      </c>
      <c r="I15">
        <f t="shared" si="10"/>
        <v>0.25</v>
      </c>
      <c r="R15">
        <f t="shared" si="15"/>
        <v>0.08092710222810263</v>
      </c>
      <c r="S15">
        <f t="shared" si="12"/>
        <v>0.27081518682010836</v>
      </c>
      <c r="T15">
        <f t="shared" si="18"/>
        <v>0.007213178235197768</v>
      </c>
      <c r="U15">
        <f t="shared" si="19"/>
        <v>0.02413824488396762</v>
      </c>
      <c r="V15">
        <f t="shared" si="13"/>
        <v>0.13748333366093868</v>
      </c>
      <c r="W15">
        <f t="shared" si="16"/>
        <v>0.6874166683046934</v>
      </c>
    </row>
    <row r="16" spans="1:23" ht="12.75">
      <c r="A16" s="1"/>
      <c r="B16" s="1">
        <f t="shared" si="17"/>
        <v>70</v>
      </c>
      <c r="C16" s="1">
        <f t="shared" si="8"/>
        <v>1.2217304763960306</v>
      </c>
      <c r="D16" s="1">
        <f t="shared" si="0"/>
        <v>0.6710100716628344</v>
      </c>
      <c r="E16" s="1">
        <f t="shared" si="1"/>
        <v>0.31151889007934164</v>
      </c>
      <c r="F16" s="1"/>
      <c r="G16" s="1"/>
      <c r="H16" s="1"/>
      <c r="V16">
        <f t="shared" si="13"/>
        <v>0.11224027162116025</v>
      </c>
      <c r="W16">
        <f t="shared" si="16"/>
        <v>0.5612013581058013</v>
      </c>
    </row>
    <row r="17" spans="1:23" ht="12.75">
      <c r="A17" s="1"/>
      <c r="B17" s="1">
        <f t="shared" si="17"/>
        <v>75</v>
      </c>
      <c r="C17" s="1">
        <f t="shared" si="8"/>
        <v>1.3089969389957472</v>
      </c>
      <c r="D17" s="1">
        <f t="shared" si="0"/>
        <v>0.6294095225512604</v>
      </c>
      <c r="E17" s="1">
        <f t="shared" si="1"/>
        <v>0.2770711770791939</v>
      </c>
      <c r="F17" s="1" t="s">
        <v>28</v>
      </c>
      <c r="G17" s="1">
        <v>0.25</v>
      </c>
      <c r="H17" s="1"/>
      <c r="V17">
        <f t="shared" si="13"/>
        <v>0.09119154842943455</v>
      </c>
      <c r="W17">
        <f t="shared" si="16"/>
        <v>0.4559577421471728</v>
      </c>
    </row>
    <row r="18" spans="1:23" ht="12.75">
      <c r="A18" s="3"/>
      <c r="B18" s="1">
        <f t="shared" si="17"/>
        <v>80</v>
      </c>
      <c r="C18" s="1">
        <f t="shared" si="8"/>
        <v>1.3962634015954636</v>
      </c>
      <c r="D18" s="1">
        <f aca="true" t="shared" si="20" ref="D18:D33">(1+COS(B18*(PI()/180)))/2</f>
        <v>0.5868240888334653</v>
      </c>
      <c r="E18" s="1">
        <f t="shared" si="1"/>
        <v>0.24815438219609867</v>
      </c>
      <c r="F18" s="1" t="s">
        <v>29</v>
      </c>
      <c r="G18" s="1">
        <v>-0.25</v>
      </c>
      <c r="H18" s="1"/>
      <c r="V18">
        <f t="shared" si="13"/>
        <v>0.07415261610446913</v>
      </c>
      <c r="W18">
        <f t="shared" si="16"/>
        <v>0.37076308052234563</v>
      </c>
    </row>
    <row r="19" spans="1:23" ht="12.75" customHeight="1">
      <c r="A19" s="3"/>
      <c r="B19" s="1">
        <f t="shared" si="17"/>
        <v>85</v>
      </c>
      <c r="C19" s="1">
        <f aca="true" t="shared" si="21" ref="C19:C34">B19*PI()/180</f>
        <v>1.4835298641951802</v>
      </c>
      <c r="D19" s="1">
        <f t="shared" si="20"/>
        <v>0.5435778713738291</v>
      </c>
      <c r="E19" s="1">
        <f t="shared" si="1"/>
        <v>0.22418385836814422</v>
      </c>
      <c r="F19" s="1" t="s">
        <v>30</v>
      </c>
      <c r="G19" s="1">
        <v>1</v>
      </c>
      <c r="H19" s="1"/>
      <c r="R19" t="s">
        <v>35</v>
      </c>
      <c r="V19">
        <f t="shared" si="13"/>
        <v>0.06064504975772332</v>
      </c>
      <c r="W19">
        <f t="shared" si="16"/>
        <v>0.3032252487886166</v>
      </c>
    </row>
    <row r="20" spans="1:23" ht="12.75">
      <c r="A20" s="1"/>
      <c r="B20" s="1">
        <f t="shared" si="17"/>
        <v>90</v>
      </c>
      <c r="C20" s="1">
        <f t="shared" si="21"/>
        <v>1.5707963267948966</v>
      </c>
      <c r="D20" s="1">
        <f t="shared" si="20"/>
        <v>0.5</v>
      </c>
      <c r="E20" s="1">
        <f t="shared" si="1"/>
        <v>0.20446469899196312</v>
      </c>
      <c r="F20" s="1"/>
      <c r="H20" s="1"/>
      <c r="R20">
        <f>2*R22^2/R24</f>
        <v>0.7771619222154402</v>
      </c>
      <c r="V20">
        <f t="shared" si="13"/>
        <v>0.050067153958449115</v>
      </c>
      <c r="W20">
        <f t="shared" si="16"/>
        <v>0.2503357697922456</v>
      </c>
    </row>
    <row r="21" spans="1:23" ht="12.75">
      <c r="A21" s="1"/>
      <c r="B21" s="1">
        <f t="shared" si="17"/>
        <v>95</v>
      </c>
      <c r="C21" s="1">
        <f t="shared" si="21"/>
        <v>1.6580627893946132</v>
      </c>
      <c r="D21" s="1">
        <f t="shared" si="20"/>
        <v>0.4564221286261709</v>
      </c>
      <c r="E21" s="1">
        <f t="shared" si="1"/>
        <v>0.1882388508226216</v>
      </c>
      <c r="F21" s="1"/>
      <c r="R21" t="s">
        <v>17</v>
      </c>
      <c r="V21">
        <f t="shared" si="13"/>
        <v>0.04180581313387408</v>
      </c>
      <c r="W21">
        <f t="shared" si="16"/>
        <v>0.2090290656693704</v>
      </c>
    </row>
    <row r="22" spans="1:23" ht="12.75">
      <c r="A22" s="1"/>
      <c r="B22" s="1">
        <f aca="true" t="shared" si="22" ref="B22:B37">B21+5</f>
        <v>100</v>
      </c>
      <c r="C22" s="1">
        <f t="shared" si="21"/>
        <v>1.7453292519943295</v>
      </c>
      <c r="D22" s="1">
        <f t="shared" si="20"/>
        <v>0.41317591116653485</v>
      </c>
      <c r="E22" s="1">
        <f t="shared" si="1"/>
        <v>0.17472257005955832</v>
      </c>
      <c r="F22" s="1"/>
      <c r="G22" s="1"/>
      <c r="R22">
        <f>SUM(U3:U19)</f>
        <v>0.23222782584234744</v>
      </c>
      <c r="V22">
        <f t="shared" si="13"/>
        <v>0.03529902840507579</v>
      </c>
      <c r="W22">
        <f t="shared" si="16"/>
        <v>0.17649514202537894</v>
      </c>
    </row>
    <row r="23" spans="1:23" ht="12.75">
      <c r="A23" s="1"/>
      <c r="B23" s="1">
        <f t="shared" si="22"/>
        <v>105</v>
      </c>
      <c r="C23" s="1">
        <f t="shared" si="21"/>
        <v>1.8325957145940461</v>
      </c>
      <c r="D23" s="1">
        <f t="shared" si="20"/>
        <v>0.3705904774487396</v>
      </c>
      <c r="E23" s="1">
        <f t="shared" si="1"/>
        <v>0.163136934097943</v>
      </c>
      <c r="F23" s="1"/>
      <c r="G23" s="1"/>
      <c r="R23" t="s">
        <v>19</v>
      </c>
      <c r="V23">
        <f t="shared" si="13"/>
        <v>0.030064187929370764</v>
      </c>
      <c r="W23">
        <f t="shared" si="16"/>
        <v>0.1503209396468538</v>
      </c>
    </row>
    <row r="24" spans="1:23" ht="12.75">
      <c r="A24" s="1"/>
      <c r="B24" s="1">
        <f t="shared" si="22"/>
        <v>110</v>
      </c>
      <c r="C24" s="1">
        <f t="shared" si="21"/>
        <v>1.9198621771937625</v>
      </c>
      <c r="D24" s="1">
        <f t="shared" si="20"/>
        <v>0.32898992833716567</v>
      </c>
      <c r="E24" s="1">
        <f t="shared" si="1"/>
        <v>0.15273478245848582</v>
      </c>
      <c r="F24" s="1"/>
      <c r="G24" s="1"/>
      <c r="R24">
        <f>SUM(T3:T19)</f>
        <v>0.13878642675062397</v>
      </c>
      <c r="V24">
        <f t="shared" si="13"/>
        <v>0.025706820817933497</v>
      </c>
      <c r="W24">
        <f t="shared" si="16"/>
        <v>0.12853410408966748</v>
      </c>
    </row>
    <row r="25" spans="1:23" ht="12.75">
      <c r="A25" s="1"/>
      <c r="B25" s="1">
        <f t="shared" si="22"/>
        <v>115</v>
      </c>
      <c r="C25" s="1">
        <f t="shared" si="21"/>
        <v>2.007128639793479</v>
      </c>
      <c r="D25" s="1">
        <f t="shared" si="20"/>
        <v>0.28869086912965036</v>
      </c>
      <c r="E25" s="1">
        <f t="shared" si="1"/>
        <v>0.14282727919017815</v>
      </c>
      <c r="F25" s="1"/>
      <c r="G25" s="1"/>
      <c r="V25">
        <f t="shared" si="13"/>
        <v>0.021921068430480698</v>
      </c>
      <c r="W25">
        <f t="shared" si="16"/>
        <v>0.10960534215240349</v>
      </c>
    </row>
    <row r="26" spans="1:23" ht="12.75">
      <c r="A26" s="1"/>
      <c r="B26" s="1">
        <f t="shared" si="22"/>
        <v>120</v>
      </c>
      <c r="C26" s="1">
        <f t="shared" si="21"/>
        <v>2.0943951023931953</v>
      </c>
      <c r="D26" s="1">
        <f t="shared" si="20"/>
        <v>0.2500000000000001</v>
      </c>
      <c r="E26" s="1">
        <f t="shared" si="1"/>
        <v>0.132812348570982</v>
      </c>
      <c r="F26" s="1"/>
      <c r="G26" s="1"/>
      <c r="V26">
        <f t="shared" si="13"/>
        <v>0.01848834504505121</v>
      </c>
      <c r="W26">
        <f t="shared" si="16"/>
        <v>0.09244172522525604</v>
      </c>
    </row>
    <row r="27" spans="1:23" ht="12.75">
      <c r="A27" s="1"/>
      <c r="B27" s="1">
        <f t="shared" si="22"/>
        <v>125</v>
      </c>
      <c r="C27" s="1">
        <f t="shared" si="21"/>
        <v>2.1816615649929116</v>
      </c>
      <c r="D27" s="1">
        <f t="shared" si="20"/>
        <v>0.21321178182447692</v>
      </c>
      <c r="E27" s="1">
        <f t="shared" si="1"/>
        <v>0.12220567199758214</v>
      </c>
      <c r="F27" s="1"/>
      <c r="G27" s="1"/>
      <c r="V27">
        <f t="shared" si="13"/>
        <v>0.015275925962326527</v>
      </c>
      <c r="W27">
        <f t="shared" si="16"/>
        <v>0.07637962981163263</v>
      </c>
    </row>
    <row r="28" spans="1:23" ht="12.75">
      <c r="A28" s="1"/>
      <c r="B28" s="1">
        <f t="shared" si="22"/>
        <v>130</v>
      </c>
      <c r="C28" s="1">
        <f t="shared" si="21"/>
        <v>2.2689280275926285</v>
      </c>
      <c r="D28" s="1">
        <f t="shared" si="20"/>
        <v>0.17860619515673032</v>
      </c>
      <c r="E28" s="1">
        <f t="shared" si="1"/>
        <v>0.11067295929959398</v>
      </c>
      <c r="F28" s="1"/>
      <c r="G28" s="1"/>
      <c r="V28">
        <f t="shared" si="13"/>
        <v>0.01223340197761836</v>
      </c>
      <c r="W28">
        <f t="shared" si="16"/>
        <v>0.061167009888091796</v>
      </c>
    </row>
    <row r="29" spans="1:23" ht="12.75">
      <c r="A29" s="1"/>
      <c r="B29" s="1">
        <f t="shared" si="22"/>
        <v>135</v>
      </c>
      <c r="C29" s="1">
        <f t="shared" si="21"/>
        <v>2.356194490192345</v>
      </c>
      <c r="D29" s="1">
        <f t="shared" si="20"/>
        <v>0.14644660940672627</v>
      </c>
      <c r="E29" s="1">
        <f t="shared" si="1"/>
        <v>0.09806013770931346</v>
      </c>
      <c r="F29" s="1"/>
      <c r="G29" s="1"/>
      <c r="V29">
        <f t="shared" si="13"/>
        <v>0.009382898364536287</v>
      </c>
      <c r="W29">
        <f t="shared" si="16"/>
        <v>0.04691449182268144</v>
      </c>
    </row>
    <row r="30" spans="1:23" ht="12.75">
      <c r="A30" s="1"/>
      <c r="B30" s="1">
        <f t="shared" si="22"/>
        <v>140</v>
      </c>
      <c r="C30" s="1">
        <f t="shared" si="21"/>
        <v>2.443460952792061</v>
      </c>
      <c r="D30" s="1">
        <f t="shared" si="20"/>
        <v>0.11697777844051105</v>
      </c>
      <c r="E30" s="1">
        <f t="shared" si="1"/>
        <v>0.08441635626936225</v>
      </c>
      <c r="F30" s="1"/>
      <c r="G30" s="1"/>
      <c r="V30">
        <f t="shared" si="13"/>
        <v>0.006799390745082319</v>
      </c>
      <c r="W30">
        <f t="shared" si="16"/>
        <v>0.033996953725411595</v>
      </c>
    </row>
    <row r="31" spans="1:23" ht="12.75">
      <c r="A31" s="1"/>
      <c r="B31" s="1">
        <f t="shared" si="22"/>
        <v>145</v>
      </c>
      <c r="C31" s="1">
        <f t="shared" si="21"/>
        <v>2.5307274153917776</v>
      </c>
      <c r="D31" s="1">
        <f t="shared" si="20"/>
        <v>0.09042397785550405</v>
      </c>
      <c r="E31" s="1">
        <f t="shared" si="1"/>
        <v>0.07000376280476954</v>
      </c>
      <c r="F31" s="1"/>
      <c r="G31" s="1"/>
      <c r="V31">
        <f t="shared" si="13"/>
        <v>0.004580582416210104</v>
      </c>
      <c r="W31">
        <f t="shared" si="16"/>
        <v>0.02290291208105052</v>
      </c>
    </row>
    <row r="32" spans="1:23" ht="12.75">
      <c r="A32" s="1"/>
      <c r="B32" s="1">
        <f t="shared" si="22"/>
        <v>150</v>
      </c>
      <c r="C32" s="1">
        <f t="shared" si="21"/>
        <v>2.6179938779914944</v>
      </c>
      <c r="D32" s="1">
        <f t="shared" si="20"/>
        <v>0.06698729810778065</v>
      </c>
      <c r="E32" s="1">
        <f t="shared" si="1"/>
        <v>0.05528831612625547</v>
      </c>
      <c r="F32" s="1"/>
      <c r="G32" s="1"/>
      <c r="V32">
        <f t="shared" si="13"/>
        <v>0.0028108267021022793</v>
      </c>
      <c r="W32">
        <f t="shared" si="16"/>
        <v>0.014054133510511397</v>
      </c>
    </row>
    <row r="33" spans="1:23" ht="12.75">
      <c r="A33" s="1"/>
      <c r="B33" s="1">
        <f t="shared" si="22"/>
        <v>155</v>
      </c>
      <c r="C33" s="1">
        <f t="shared" si="21"/>
        <v>2.705260340591211</v>
      </c>
      <c r="D33" s="1">
        <f t="shared" si="20"/>
        <v>0.04684610648167503</v>
      </c>
      <c r="E33" s="1">
        <f t="shared" si="1"/>
        <v>0.040907710198666465</v>
      </c>
      <c r="F33" s="1"/>
      <c r="G33" s="1"/>
      <c r="V33">
        <f t="shared" si="13"/>
        <v>0.00152839895003838</v>
      </c>
      <c r="W33">
        <f t="shared" si="16"/>
        <v>0.0076419947501919</v>
      </c>
    </row>
    <row r="34" spans="1:23" ht="12.75">
      <c r="A34" s="1"/>
      <c r="B34" s="1">
        <f t="shared" si="22"/>
        <v>160</v>
      </c>
      <c r="C34" s="1">
        <f t="shared" si="21"/>
        <v>2.792526803190927</v>
      </c>
      <c r="D34" s="1">
        <f>(1+COS(B34*(PI()/180)))/2</f>
        <v>0.03015368960704584</v>
      </c>
      <c r="E34" s="1">
        <f t="shared" si="1"/>
        <v>0.02761575128307769</v>
      </c>
      <c r="F34" s="1"/>
      <c r="G34" s="1"/>
      <c r="V34">
        <f t="shared" si="13"/>
        <v>0.0007072266224539287</v>
      </c>
      <c r="W34">
        <f t="shared" si="16"/>
        <v>0.0035361331122696436</v>
      </c>
    </row>
    <row r="35" spans="1:23" ht="12.75">
      <c r="A35" s="1"/>
      <c r="B35" s="1">
        <f t="shared" si="22"/>
        <v>165</v>
      </c>
      <c r="C35" s="1">
        <f>B35*PI()/180</f>
        <v>2.8797932657906435</v>
      </c>
      <c r="D35" s="1">
        <f>(1+COS(B35*(PI()/180)))/2</f>
        <v>0.0170370868554659</v>
      </c>
      <c r="E35" s="1">
        <f t="shared" si="1"/>
        <v>0.01620677921414992</v>
      </c>
      <c r="F35" s="1"/>
      <c r="G35" s="1"/>
      <c r="V35">
        <f t="shared" si="13"/>
        <v>0.00026083472577244517</v>
      </c>
      <c r="W35">
        <f t="shared" si="16"/>
        <v>0.0013041736288622258</v>
      </c>
    </row>
    <row r="36" spans="1:23" ht="12.75">
      <c r="A36" s="1"/>
      <c r="B36" s="1">
        <f t="shared" si="22"/>
        <v>170</v>
      </c>
      <c r="C36" s="1">
        <f>B36*PI()/180</f>
        <v>2.9670597283903604</v>
      </c>
      <c r="D36" s="1">
        <f>(1+COS(B36*(PI()/180)))/2</f>
        <v>0.00759612349389599</v>
      </c>
      <c r="E36" s="1">
        <f t="shared" si="1"/>
        <v>0.007428115811413729</v>
      </c>
      <c r="F36" s="1"/>
      <c r="G36" s="1"/>
      <c r="V36">
        <f t="shared" si="13"/>
        <v>6.798133079878879E-05</v>
      </c>
      <c r="W36">
        <f t="shared" si="16"/>
        <v>0.00033990665399394397</v>
      </c>
    </row>
    <row r="37" spans="1:23" ht="12.75">
      <c r="A37" s="1"/>
      <c r="B37" s="1">
        <f t="shared" si="22"/>
        <v>175</v>
      </c>
      <c r="C37" s="1">
        <f>B37*PI()/180</f>
        <v>3.0543261909900763</v>
      </c>
      <c r="D37" s="1">
        <f>(1+COS(B37*(PI()/180)))/2</f>
        <v>0.0019026509541272274</v>
      </c>
      <c r="E37" s="1">
        <f t="shared" si="1"/>
        <v>0.0018919968137213964</v>
      </c>
      <c r="F37" s="1"/>
      <c r="G37" s="1"/>
      <c r="V37">
        <f t="shared" si="13"/>
        <v>9.581368917077297E-06</v>
      </c>
      <c r="W37">
        <f t="shared" si="16"/>
        <v>4.790684458538648E-05</v>
      </c>
    </row>
    <row r="38" spans="1:23" ht="12.75">
      <c r="A38" s="1"/>
      <c r="B38" s="1">
        <f>B37+5</f>
        <v>180</v>
      </c>
      <c r="C38" s="1">
        <f>B38*PI()/180</f>
        <v>3.141592653589793</v>
      </c>
      <c r="D38" s="1">
        <f>(1+COS(B38*(PI()/180)))/2</f>
        <v>0</v>
      </c>
      <c r="E38" s="1">
        <f t="shared" si="1"/>
        <v>0</v>
      </c>
      <c r="F38" s="1"/>
      <c r="G38" s="1"/>
      <c r="V38">
        <f t="shared" si="13"/>
        <v>3.119872238817617E-07</v>
      </c>
      <c r="W38">
        <f t="shared" si="16"/>
        <v>1.5599361194088085E-06</v>
      </c>
    </row>
    <row r="39" spans="1:23" ht="12.75">
      <c r="A39" s="1"/>
      <c r="B39" s="1"/>
      <c r="C39" s="1"/>
      <c r="D39" s="1"/>
      <c r="E39" s="1"/>
      <c r="F39" s="1"/>
      <c r="G39" s="1"/>
      <c r="V39">
        <f t="shared" si="13"/>
        <v>0</v>
      </c>
      <c r="W39">
        <f t="shared" si="16"/>
        <v>0</v>
      </c>
    </row>
    <row r="41" ht="12.75">
      <c r="H41" s="1"/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Atomic Lighting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StarFire</dc:creator>
  <cp:keywords/>
  <dc:description/>
  <cp:lastModifiedBy>StarFire</cp:lastModifiedBy>
  <cp:lastPrinted>1998-05-24T19:48:40Z</cp:lastPrinted>
  <dcterms:created xsi:type="dcterms:W3CDTF">1998-05-06T18:49:48Z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